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RSCH-Userdata\H_Drive\Gtetteh\work\personal\PHD\Final viva\viva preparation\final submission\New folder\"/>
    </mc:Choice>
  </mc:AlternateContent>
  <bookViews>
    <workbookView xWindow="0" yWindow="0" windowWidth="19200" windowHeight="7050" activeTab="2"/>
  </bookViews>
  <sheets>
    <sheet name="Appendix 1" sheetId="1" r:id="rId1"/>
    <sheet name="Appendix 2" sheetId="2" r:id="rId2"/>
    <sheet name="Appendix 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3" i="3" l="1"/>
  <c r="L73" i="1"/>
  <c r="E21" i="3"/>
  <c r="E26" i="3" s="1"/>
  <c r="E20" i="3"/>
  <c r="E25" i="3" s="1"/>
  <c r="E27" i="3" s="1"/>
  <c r="E31" i="3" s="1"/>
  <c r="E33" i="3" s="1"/>
  <c r="J17" i="3"/>
  <c r="J16" i="3"/>
  <c r="J20" i="3" s="1"/>
  <c r="H36" i="3" s="1"/>
  <c r="E16" i="3"/>
  <c r="E15" i="3"/>
  <c r="E17" i="3" s="1"/>
  <c r="H29" i="3" s="1"/>
  <c r="J11" i="3"/>
  <c r="J10" i="3"/>
  <c r="E10" i="3"/>
  <c r="J9" i="3"/>
  <c r="E9" i="3"/>
  <c r="J8" i="3"/>
  <c r="E8" i="3"/>
  <c r="J7" i="3"/>
  <c r="E7" i="3"/>
  <c r="J6" i="3"/>
  <c r="E6" i="3"/>
  <c r="J5" i="3"/>
  <c r="E5" i="3"/>
  <c r="E12" i="3" s="1"/>
  <c r="H28" i="3" s="1"/>
  <c r="H30" i="3" l="1"/>
  <c r="H25" i="3"/>
  <c r="H32" i="3"/>
  <c r="J13" i="3"/>
  <c r="H35" i="3" s="1"/>
  <c r="H38" i="3" s="1"/>
  <c r="C38" i="2" l="1"/>
  <c r="D38" i="2" s="1"/>
  <c r="C37" i="2"/>
  <c r="D37" i="2" s="1"/>
  <c r="C36" i="2"/>
  <c r="D36" i="2" s="1"/>
  <c r="B35" i="2"/>
  <c r="B34" i="2"/>
  <c r="S30" i="2"/>
  <c r="D30" i="2"/>
  <c r="E30" i="2" s="1"/>
  <c r="B47" i="2" s="1"/>
  <c r="E26" i="2"/>
  <c r="B46" i="2" s="1"/>
  <c r="D22" i="2"/>
  <c r="B43" i="2" s="1"/>
  <c r="E14" i="2"/>
  <c r="E13" i="2"/>
  <c r="E12" i="2"/>
  <c r="E18" i="2" s="1"/>
  <c r="B45" i="2" s="1"/>
  <c r="E8" i="2"/>
  <c r="E7" i="2"/>
  <c r="E6" i="2"/>
  <c r="E9" i="2" s="1"/>
  <c r="B44" i="2" s="1"/>
  <c r="C34" i="2" l="1"/>
  <c r="D34" i="2" s="1"/>
  <c r="C35" i="2"/>
  <c r="D35" i="2" s="1"/>
  <c r="D39" i="2" l="1"/>
  <c r="E39" i="2" s="1"/>
  <c r="B48" i="2" s="1"/>
  <c r="B49" i="2" s="1"/>
  <c r="B51" i="2" s="1"/>
  <c r="C92" i="1" l="1"/>
  <c r="D92" i="1" s="1"/>
  <c r="C91" i="1"/>
  <c r="D91" i="1" s="1"/>
  <c r="D93" i="1" s="1"/>
  <c r="E82" i="1"/>
  <c r="E81" i="1"/>
  <c r="E83" i="1" s="1"/>
  <c r="M52" i="1" s="1"/>
  <c r="E78" i="1"/>
  <c r="E77" i="1"/>
  <c r="E74" i="1"/>
  <c r="D96" i="1"/>
  <c r="E96" i="1" s="1"/>
  <c r="D73" i="1"/>
  <c r="E73" i="1" s="1"/>
  <c r="D72" i="1"/>
  <c r="E72" i="1" s="1"/>
  <c r="E71" i="1"/>
  <c r="E67" i="1"/>
  <c r="E66" i="1"/>
  <c r="E68" i="1" s="1"/>
  <c r="M51" i="1" s="1"/>
  <c r="J63" i="1"/>
  <c r="E63" i="1"/>
  <c r="E62" i="1"/>
  <c r="E59" i="1"/>
  <c r="E58" i="1"/>
  <c r="E60" i="1" s="1"/>
  <c r="M49" i="1" s="1"/>
  <c r="E55" i="1"/>
  <c r="E54" i="1"/>
  <c r="E56" i="1" s="1"/>
  <c r="E51" i="1"/>
  <c r="E50" i="1"/>
  <c r="E47" i="1"/>
  <c r="F47" i="1" s="1"/>
  <c r="E46" i="1"/>
  <c r="E48" i="1" s="1"/>
  <c r="E43" i="1"/>
  <c r="B4" i="1" s="1"/>
  <c r="E4" i="1" s="1"/>
  <c r="E5" i="1" s="1"/>
  <c r="B7" i="1" s="1"/>
  <c r="E7" i="1" s="1"/>
  <c r="E9" i="1" s="1"/>
  <c r="E42" i="1"/>
  <c r="E41" i="1"/>
  <c r="O39" i="1"/>
  <c r="N39" i="1"/>
  <c r="O38" i="1"/>
  <c r="N38" i="1"/>
  <c r="E38" i="1"/>
  <c r="O37" i="1"/>
  <c r="R37" i="1" s="1"/>
  <c r="N37" i="1"/>
  <c r="E37" i="1"/>
  <c r="O36" i="1"/>
  <c r="N36" i="1"/>
  <c r="O35" i="1"/>
  <c r="N35" i="1"/>
  <c r="O34" i="1"/>
  <c r="N34" i="1"/>
  <c r="E34" i="1"/>
  <c r="O33" i="1"/>
  <c r="N33" i="1"/>
  <c r="E33" i="1"/>
  <c r="K30" i="1"/>
  <c r="E30" i="1"/>
  <c r="K29" i="1"/>
  <c r="E29" i="1"/>
  <c r="E31" i="1" s="1"/>
  <c r="F31" i="1" s="1"/>
  <c r="E26" i="1"/>
  <c r="E25" i="1"/>
  <c r="E22" i="1"/>
  <c r="F22" i="1" s="1"/>
  <c r="E21" i="1"/>
  <c r="E23" i="1" s="1"/>
  <c r="E18" i="1"/>
  <c r="E17" i="1"/>
  <c r="D16" i="1"/>
  <c r="E16" i="1" s="1"/>
  <c r="E12" i="1"/>
  <c r="E8" i="1"/>
  <c r="E3" i="1"/>
  <c r="R35" i="1" l="1"/>
  <c r="R36" i="1"/>
  <c r="L30" i="1"/>
  <c r="E52" i="1"/>
  <c r="Q33" i="1" s="1"/>
  <c r="E89" i="1"/>
  <c r="E93" i="1" s="1"/>
  <c r="E27" i="1"/>
  <c r="F27" i="1" s="1"/>
  <c r="E44" i="1"/>
  <c r="F44" i="1" s="1"/>
  <c r="C107" i="1"/>
  <c r="Q35" i="1"/>
  <c r="E19" i="1"/>
  <c r="F19" i="1" s="1"/>
  <c r="E75" i="1"/>
  <c r="E39" i="1"/>
  <c r="F39" i="1" s="1"/>
  <c r="R34" i="1"/>
  <c r="R39" i="1"/>
  <c r="E64" i="1"/>
  <c r="M50" i="1" s="1"/>
  <c r="M53" i="1" s="1"/>
  <c r="B11" i="1"/>
  <c r="E11" i="1" s="1"/>
  <c r="E13" i="1" s="1"/>
  <c r="F13" i="1" s="1"/>
  <c r="F9" i="1"/>
  <c r="C106" i="1"/>
  <c r="R33" i="1"/>
  <c r="R38" i="1"/>
  <c r="C108" i="1"/>
  <c r="F21" i="1"/>
  <c r="F23" i="1" s="1"/>
  <c r="D97" i="1"/>
  <c r="E97" i="1" s="1"/>
  <c r="E98" i="1" s="1"/>
  <c r="C109" i="1" s="1"/>
  <c r="F46" i="1"/>
  <c r="F48" i="1" s="1"/>
  <c r="Q39" i="1" l="1"/>
  <c r="P41" i="1" s="1"/>
  <c r="Q37" i="1"/>
  <c r="Q34" i="1"/>
  <c r="E35" i="1"/>
  <c r="F35" i="1" s="1"/>
  <c r="Q38" i="1"/>
  <c r="L29" i="1"/>
  <c r="Q36" i="1"/>
  <c r="C103" i="1"/>
  <c r="C104" i="1"/>
  <c r="C102" i="1"/>
  <c r="C105" i="1" l="1"/>
  <c r="C111" i="1" s="1"/>
  <c r="C113" i="1" s="1"/>
</calcChain>
</file>

<file path=xl/comments1.xml><?xml version="1.0" encoding="utf-8"?>
<comments xmlns="http://schemas.openxmlformats.org/spreadsheetml/2006/main">
  <authors>
    <author>TETTEH, Godwin (FRIMLEY HEALTH NHS FOUNDATION TRUST)</author>
  </authors>
  <commentList>
    <comment ref="E5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9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13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19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23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F23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27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31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35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39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44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E48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  <comment ref="F48" authorId="0" shapeId="0">
      <text>
        <r>
          <rPr>
            <sz val="11"/>
            <color theme="1"/>
            <rFont val="Calibri"/>
            <family val="2"/>
            <scheme val="minor"/>
          </rPr>
          <t xml:space="preserve">TETTEH, Godwin (FRIMLEY HEALTH NHS FOUNDATION TRUST):
</t>
        </r>
      </text>
    </comment>
  </commentList>
</comments>
</file>

<file path=xl/sharedStrings.xml><?xml version="1.0" encoding="utf-8"?>
<sst xmlns="http://schemas.openxmlformats.org/spreadsheetml/2006/main" count="419" uniqueCount="284">
  <si>
    <t>Tips</t>
  </si>
  <si>
    <t>Tip size</t>
  </si>
  <si>
    <t>quantity</t>
  </si>
  <si>
    <t>C-peptide consumables</t>
  </si>
  <si>
    <t>Intermediate standard</t>
  </si>
  <si>
    <t>Cost (£)</t>
  </si>
  <si>
    <t>No in pack</t>
  </si>
  <si>
    <t>Quantity required</t>
  </si>
  <si>
    <t>Cost per batch (£)</t>
  </si>
  <si>
    <t>Samples/QC/Cal</t>
  </si>
  <si>
    <t>Acquity HSS C18 2.1x50mm Column</t>
  </si>
  <si>
    <t>Cerrilant C-peptide CRM</t>
  </si>
  <si>
    <t>500ul</t>
  </si>
  <si>
    <t>60% Methanol:30% Water: 10% Acetic acid</t>
  </si>
  <si>
    <t>20ml</t>
  </si>
  <si>
    <t>Pipette tips (1000 uL) 8 rackss 96 each</t>
  </si>
  <si>
    <t>Total</t>
  </si>
  <si>
    <t>Pipette tips (300 uL) 8 racks 96 each</t>
  </si>
  <si>
    <t>Calibrators (1ml) (50ul per batch)</t>
  </si>
  <si>
    <t>Cost per Batch (£)</t>
  </si>
  <si>
    <t>150ul conditioning methanol</t>
  </si>
  <si>
    <t>Pipette tips (250 uL) 960/10LR</t>
  </si>
  <si>
    <t>Plastic 25 mL Universal tubes</t>
  </si>
  <si>
    <t>Fetal Bovine serum (500ml)</t>
  </si>
  <si>
    <t>500ml</t>
  </si>
  <si>
    <t>Formic acid 99% 2.5L</t>
  </si>
  <si>
    <t>Acetic acid</t>
  </si>
  <si>
    <t>Controls</t>
  </si>
  <si>
    <t>Water LCMS grade 2.5 L</t>
  </si>
  <si>
    <t>Methanol LCMS grade 2.5 L</t>
  </si>
  <si>
    <t>NH4OH</t>
  </si>
  <si>
    <t>Cerrilant C-peptide</t>
  </si>
  <si>
    <t>Try C-peptide IS</t>
  </si>
  <si>
    <t>20ml Extraction solution (100ul per sample)</t>
  </si>
  <si>
    <t>Cost per reagent</t>
  </si>
  <si>
    <t>Cost per sample (£)</t>
  </si>
  <si>
    <r>
      <rPr>
        <sz val="12"/>
        <color rgb="FF000000"/>
        <rFont val="Times New Roman"/>
        <family val="1"/>
      </rPr>
      <t xml:space="preserve">Phosphate Buffered Saline (PBS) tablets (Sigma Aldrich) product number </t>
    </r>
    <r>
      <rPr>
        <sz val="11"/>
        <color rgb="FF000000"/>
        <rFont val="Times New Roman"/>
        <family val="1"/>
      </rPr>
      <t>P4417 </t>
    </r>
  </si>
  <si>
    <t>Waters collection plate</t>
  </si>
  <si>
    <t>cpeptide Internal Standard</t>
  </si>
  <si>
    <t>1ml</t>
  </si>
  <si>
    <r>
      <rPr>
        <sz val="12"/>
        <color rgb="FF000000"/>
        <rFont val="Times New Roman"/>
        <family val="1"/>
      </rPr>
      <t xml:space="preserve">Albumin from bovine serum (BSA) (Sigma Aldrich product number </t>
    </r>
    <r>
      <rPr>
        <sz val="11"/>
        <color rgb="FF000000"/>
        <rFont val="Times New Roman"/>
        <family val="1"/>
      </rPr>
      <t>A8022-500G</t>
    </r>
    <r>
      <rPr>
        <sz val="12"/>
        <color rgb="FF000000"/>
        <rFont val="Times New Roman"/>
        <family val="1"/>
      </rPr>
      <t>) </t>
    </r>
  </si>
  <si>
    <t>Waters SPE plate</t>
  </si>
  <si>
    <t>Acetonitrile</t>
  </si>
  <si>
    <t>2.5L</t>
  </si>
  <si>
    <r>
      <rPr>
        <sz val="12"/>
        <color rgb="FF000000"/>
        <rFont val="Times New Roman"/>
        <family val="1"/>
      </rPr>
      <t>Ammonia solution 32%   (</t>
    </r>
    <r>
      <rPr>
        <sz val="11"/>
        <color rgb="FF000000"/>
        <rFont val="Times New Roman"/>
        <family val="1"/>
      </rPr>
      <t>VWR, product number 153312K) </t>
    </r>
  </si>
  <si>
    <t>Bovine serum</t>
  </si>
  <si>
    <t>Methanol (350ul per sample)</t>
  </si>
  <si>
    <t>SPE extraction</t>
  </si>
  <si>
    <t xml:space="preserve">CORTECS UPLC C18+ 1.6µ 2.1x50mm  186007114 </t>
  </si>
  <si>
    <t>Methanol (200ul per sample)</t>
  </si>
  <si>
    <t>1.5 mL Eppendorf protein low bind tubes (pack of 500) EP0030108116-100EA</t>
  </si>
  <si>
    <t>Water (200ul per sample)</t>
  </si>
  <si>
    <t>5% formic acid in wtaer (400ul per sample)</t>
  </si>
  <si>
    <t>Water (95ml)</t>
  </si>
  <si>
    <t>5% formic acid (5ml)</t>
  </si>
  <si>
    <t>500 ml</t>
  </si>
  <si>
    <t>Priming system</t>
  </si>
  <si>
    <t>mls</t>
  </si>
  <si>
    <t>cost</t>
  </si>
  <si>
    <t>5% MeoH in water (200ul per sample)</t>
  </si>
  <si>
    <t>50%A+50%B at 600ul/min for 30 mins</t>
  </si>
  <si>
    <t>Therefore Phase A</t>
  </si>
  <si>
    <t>5% Methanol (5ml)</t>
  </si>
  <si>
    <t>Phase B</t>
  </si>
  <si>
    <t>Cerrilant C-peptide (0.5ml) C-243-0.5ML</t>
  </si>
  <si>
    <t>4% phosphoric acid in water (300ul per sample)</t>
  </si>
  <si>
    <t>Gradient programme</t>
  </si>
  <si>
    <t>A (mls)</t>
  </si>
  <si>
    <t>B (mls)</t>
  </si>
  <si>
    <t>A cost</t>
  </si>
  <si>
    <t>B cost</t>
  </si>
  <si>
    <t>85% phosphoric acid (4.706ml)</t>
  </si>
  <si>
    <t>Oasis PRiME HLB µElution Plate 1/pkg   186008052</t>
  </si>
  <si>
    <t xml:space="preserve">Fetal Bovine serum (500ml)  F6765-500ML </t>
  </si>
  <si>
    <t>5% NH4OH in MeoH (20ml) 50ul per sample</t>
  </si>
  <si>
    <t>WHATMAN(TM) PROTEIN SAVER</t>
  </si>
  <si>
    <t>Methanol (20ml)</t>
  </si>
  <si>
    <t>32% NH4OH</t>
  </si>
  <si>
    <t>1L</t>
  </si>
  <si>
    <t>Total cost</t>
  </si>
  <si>
    <t>60% Methanol:30% Water: 10% Acetic acid (20ml) 50ul per sample</t>
  </si>
  <si>
    <t>Methaol</t>
  </si>
  <si>
    <t>Water</t>
  </si>
  <si>
    <t>Other consumables</t>
  </si>
  <si>
    <t>Other wash</t>
  </si>
  <si>
    <t>Volume</t>
  </si>
  <si>
    <t>Weak wash</t>
  </si>
  <si>
    <t>40 ul</t>
  </si>
  <si>
    <t>Waters Oasis PRiME HLB uElution plate</t>
  </si>
  <si>
    <t>Seal Wash</t>
  </si>
  <si>
    <t>Sample Manager purge</t>
  </si>
  <si>
    <t>Mobile phase A (1L)</t>
  </si>
  <si>
    <t>Iron Source wash</t>
  </si>
  <si>
    <t>50 ul</t>
  </si>
  <si>
    <t>LCMS grade water (1L)</t>
  </si>
  <si>
    <t>0.1% Formic acid (1ml)</t>
  </si>
  <si>
    <t>Mobile phase B (1L)</t>
  </si>
  <si>
    <t>LCMS grade Acetonitrile (600mL)</t>
  </si>
  <si>
    <t>2.5 L</t>
  </si>
  <si>
    <t>Workload</t>
  </si>
  <si>
    <t>Weak wash (50:50 Acetonitrile:Water) (1L)</t>
  </si>
  <si>
    <t>C-peptide</t>
  </si>
  <si>
    <t>50% LCMS grade methanol (500ml)</t>
  </si>
  <si>
    <t>Steroids</t>
  </si>
  <si>
    <t>50% LCMS grade water (500ml)</t>
  </si>
  <si>
    <t>Seal Wash 10%Methanol  (500Ml)</t>
  </si>
  <si>
    <t>LCMS grade methanol (50ml)</t>
  </si>
  <si>
    <t>2500ml</t>
  </si>
  <si>
    <t>LCMS grade water (450ml)</t>
  </si>
  <si>
    <t>Assay</t>
  </si>
  <si>
    <t>workload</t>
  </si>
  <si>
    <t>Sample Manger Purge (10% Methanol) (1L)</t>
  </si>
  <si>
    <t>Immuno</t>
  </si>
  <si>
    <t>LCMS grade methanol (400ml)</t>
  </si>
  <si>
    <t>Sulph</t>
  </si>
  <si>
    <t>LCMS grade water (600ml)</t>
  </si>
  <si>
    <t>5HIAA</t>
  </si>
  <si>
    <t>METs</t>
  </si>
  <si>
    <t xml:space="preserve">250ul pippette tips </t>
  </si>
  <si>
    <t xml:space="preserve">1000ul pippette tips </t>
  </si>
  <si>
    <t>Collection plate</t>
  </si>
  <si>
    <t>2022-2023 workload</t>
  </si>
  <si>
    <t>Band</t>
  </si>
  <si>
    <t>Basic</t>
  </si>
  <si>
    <t>Cost allowance</t>
  </si>
  <si>
    <t>Cost per test (fixed)</t>
  </si>
  <si>
    <t>Argon gas</t>
  </si>
  <si>
    <t>Band 6 (1.0)</t>
  </si>
  <si>
    <t>Nitrogen gas</t>
  </si>
  <si>
    <t>Band 7 (1.0)</t>
  </si>
  <si>
    <t>Iron Source wash 2 (0.5L)</t>
  </si>
  <si>
    <t>LCMS grade methanol (10%)</t>
  </si>
  <si>
    <t>Total Annual cost (£)</t>
  </si>
  <si>
    <t>LCMS grade water (80%)</t>
  </si>
  <si>
    <t>Staff costs</t>
  </si>
  <si>
    <t xml:space="preserve">Based on Band 6 (2-5 years) </t>
  </si>
  <si>
    <t xml:space="preserve">based on Band 7 (2-5 years) </t>
  </si>
  <si>
    <t>No of days worked = 365 less weekends (52x2) and bankholidays (8)</t>
  </si>
  <si>
    <t>Instrumentation cost</t>
  </si>
  <si>
    <t>Duration</t>
  </si>
  <si>
    <t>Annual workload</t>
  </si>
  <si>
    <t>Fixed cost per test</t>
  </si>
  <si>
    <t>LCMS Service charges</t>
  </si>
  <si>
    <t>1 year</t>
  </si>
  <si>
    <t>Nitrogen generator service</t>
  </si>
  <si>
    <t>Total cost of C-peptide  (Average run 50 samples)</t>
  </si>
  <si>
    <t>Calibrators and Controls</t>
  </si>
  <si>
    <t xml:space="preserve">Extraction </t>
  </si>
  <si>
    <t>Column+SPE plate</t>
  </si>
  <si>
    <t xml:space="preserve">Mobile phases </t>
  </si>
  <si>
    <t>Other Consumables</t>
  </si>
  <si>
    <t>Argon</t>
  </si>
  <si>
    <t>Band 6 running cost</t>
  </si>
  <si>
    <t> </t>
  </si>
  <si>
    <t>extraction solution</t>
  </si>
  <si>
    <t>1.5 mL Eppendorf tubes (pack of 100)</t>
  </si>
  <si>
    <t>200ul conditioning water</t>
  </si>
  <si>
    <t>200ul conditioning methanol</t>
  </si>
  <si>
    <t>aliqout into plate</t>
  </si>
  <si>
    <t>acidify phos acid</t>
  </si>
  <si>
    <t>SPE load</t>
  </si>
  <si>
    <t>wash 1</t>
  </si>
  <si>
    <t>wash 2</t>
  </si>
  <si>
    <t>elute</t>
  </si>
  <si>
    <t>dilute</t>
  </si>
  <si>
    <t>phosphoric acid</t>
  </si>
  <si>
    <t>85%A+15%B at 250ul/min for 4.3 min</t>
  </si>
  <si>
    <t>75%A+25%B at 250ul/min for 0.7 min</t>
  </si>
  <si>
    <t>65%A+35%B at 250ul/min for 0.3 min</t>
  </si>
  <si>
    <t>55%A+45%B at 250ul/min for 0.2 min</t>
  </si>
  <si>
    <t>35%A65%B at 250ul/min for 0.2 min</t>
  </si>
  <si>
    <t>15%A85%B at 250ul/min for 2.3 min</t>
  </si>
  <si>
    <t>85%A15%B at 250ul/min for 0.50 min</t>
  </si>
  <si>
    <t>Eppendorf tubes</t>
  </si>
  <si>
    <t>Cost per test C-peptide (£)</t>
  </si>
  <si>
    <t>Staff costs (LCMS)</t>
  </si>
  <si>
    <t>Nitrogen MS1</t>
  </si>
  <si>
    <t>2023-2024 workload</t>
  </si>
  <si>
    <t>£550.8</t>
  </si>
  <si>
    <t>C-peptide ELISA kit (96 wells) Diagenics (A complete kit is sufficient for the standard curve, 6 sets of controls and 36 patients.</t>
  </si>
  <si>
    <t>Item</t>
  </si>
  <si>
    <t>No of runs/pack</t>
  </si>
  <si>
    <t>BioRad Immunoassay Plus Controls, levels 1 &amp; 2 BioRad</t>
  </si>
  <si>
    <t>C-peptide test kit</t>
  </si>
  <si>
    <t>The C-peptide calibrators are reconstituted using 1000 μl deionised</t>
  </si>
  <si>
    <t xml:space="preserve">Lyophilised BioRad Lyphochek controls x3 -5ml water </t>
  </si>
  <si>
    <t>Cost of tips</t>
  </si>
  <si>
    <t>Each standard, control or patient sample is assayed in duplicate. If there are less than 36 patient</t>
  </si>
  <si>
    <t>standards reconstitution/washing (1ml)</t>
  </si>
  <si>
    <t>conjugate/substrate/stop solution (250ul)</t>
  </si>
  <si>
    <t>sample/QC/Calibrators (250ul)</t>
  </si>
  <si>
    <t>Cost of IQC</t>
  </si>
  <si>
    <t>Cost (£) inVAT</t>
  </si>
  <si>
    <t>total volume</t>
  </si>
  <si>
    <t>All urine samples are run neat and as 1 in 10 dilution in the first instance so each urine sample</t>
  </si>
  <si>
    <t xml:space="preserve">Biorad Immunoassay L1 </t>
  </si>
  <si>
    <t>3X5</t>
  </si>
  <si>
    <t>Biorad Immunoassay L2</t>
  </si>
  <si>
    <t>Biorad Immunoassay L3</t>
  </si>
  <si>
    <t>200ul pippette tips (6 tips per batch)</t>
  </si>
  <si>
    <t>250ul (1 tip per batch)</t>
  </si>
  <si>
    <t>1000ul pippette tips (1 tip per batch)</t>
  </si>
  <si>
    <t>Number</t>
  </si>
  <si>
    <t>Cost</t>
  </si>
  <si>
    <t>Cost of kit per patient</t>
  </si>
  <si>
    <t>standards reconstitution/washing</t>
  </si>
  <si>
    <t>X6</t>
  </si>
  <si>
    <t xml:space="preserve">Max number of patients per kit  </t>
  </si>
  <si>
    <t>conjugate/substrate/stop solution</t>
  </si>
  <si>
    <t>250ul</t>
  </si>
  <si>
    <t>x3</t>
  </si>
  <si>
    <t>Cost per patient</t>
  </si>
  <si>
    <t>DS2 service</t>
  </si>
  <si>
    <t>EQA scheme subscription</t>
  </si>
  <si>
    <t>cost per test (fixed)</t>
  </si>
  <si>
    <t>Annual combined workload</t>
  </si>
  <si>
    <t>CAP EQA (C-peptide/Insulin/Gastrin)</t>
  </si>
  <si>
    <t>Insulin/C-pep/Proinsulin</t>
  </si>
  <si>
    <t>DS2 Instrumentation cost</t>
  </si>
  <si>
    <t>Proinsulin</t>
  </si>
  <si>
    <t>Service charges</t>
  </si>
  <si>
    <t>Band 2 (1.4)</t>
  </si>
  <si>
    <t>Band 6 (3.0)</t>
  </si>
  <si>
    <t>Band 8A (1.0)</t>
  </si>
  <si>
    <t>Band 8D (1.0)</t>
  </si>
  <si>
    <t>Total cost of C-peptide (Average run 34 samples)</t>
  </si>
  <si>
    <t>Cost of kits</t>
  </si>
  <si>
    <t>Cost of EQA</t>
  </si>
  <si>
    <t>Instrumentation</t>
  </si>
  <si>
    <t>Sample collection cost</t>
  </si>
  <si>
    <t>Price (£)</t>
  </si>
  <si>
    <t>pack size</t>
  </si>
  <si>
    <t>Cost/patient</t>
  </si>
  <si>
    <t>DBS card</t>
  </si>
  <si>
    <t>Gel tube</t>
  </si>
  <si>
    <t>Dessicant pouch</t>
  </si>
  <si>
    <t>Syringe</t>
  </si>
  <si>
    <t>Ziplock bag</t>
  </si>
  <si>
    <t>Tourniquet</t>
  </si>
  <si>
    <t>Alcohol hand wipe</t>
  </si>
  <si>
    <t>lancelt</t>
  </si>
  <si>
    <t>hand gloves</t>
  </si>
  <si>
    <t>Small plaster bandage</t>
  </si>
  <si>
    <t>Staff time (30 minutes)</t>
  </si>
  <si>
    <t>Total (£)</t>
  </si>
  <si>
    <t>Sample postage cost</t>
  </si>
  <si>
    <t>Sample mailing bag</t>
  </si>
  <si>
    <t>Sample separation and centrifugation</t>
  </si>
  <si>
    <t>Price</t>
  </si>
  <si>
    <t>Cost per day</t>
  </si>
  <si>
    <t>First class post</t>
  </si>
  <si>
    <t>100g</t>
  </si>
  <si>
    <t>mini Centrifugation</t>
  </si>
  <si>
    <t>micro tube</t>
  </si>
  <si>
    <t>freezer running cost</t>
  </si>
  <si>
    <t>Sample elution cost</t>
  </si>
  <si>
    <t>50 samples</t>
  </si>
  <si>
    <t>PBS (500ml)</t>
  </si>
  <si>
    <t>50 tablets</t>
  </si>
  <si>
    <t>20% BSA(2.5g in 12.5ml)</t>
  </si>
  <si>
    <t>50g</t>
  </si>
  <si>
    <t>PBS/BSA solution (500ml)</t>
  </si>
  <si>
    <t>volume (ml)</t>
  </si>
  <si>
    <t xml:space="preserve">PBS </t>
  </si>
  <si>
    <t xml:space="preserve">20% BSA </t>
  </si>
  <si>
    <t>DBS sampling pathway cost</t>
  </si>
  <si>
    <t>DBS Elution</t>
  </si>
  <si>
    <t>Cost per sample</t>
  </si>
  <si>
    <t>Volume/quantity</t>
  </si>
  <si>
    <t>PBS/BSA</t>
  </si>
  <si>
    <t>LCMS cost per test</t>
  </si>
  <si>
    <t>Eppendolf tube</t>
  </si>
  <si>
    <t>Total DBS</t>
  </si>
  <si>
    <t>Serum sampling pathway cost</t>
  </si>
  <si>
    <t>Cost(£)</t>
  </si>
  <si>
    <t>Sample separation and storage</t>
  </si>
  <si>
    <t>Total Serum</t>
  </si>
  <si>
    <t>BSPS annual workload</t>
  </si>
  <si>
    <t>Appendix 1: Cost of using the LC-MS/MS method.</t>
  </si>
  <si>
    <t>Appendix 2: Cost of using the Mercodia ELISA test kit</t>
  </si>
  <si>
    <t>DBS sample elution cost</t>
  </si>
  <si>
    <t>Total:</t>
  </si>
  <si>
    <t>Appendix 3: Cost of DBS sampling pathway</t>
  </si>
  <si>
    <t xml:space="preserve">DBS LCMS analysis cost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</si>
</sst>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&quot;£&quot;#,##0;[Red]\-&quot;£&quot;#,##0"/>
    <numFmt numFmtId="164" formatCode="0.0000"/>
    <numFmt numFmtId="165" formatCode="0.00000"/>
    <numFmt numFmtId="166" formatCode="0.0"/>
    <numFmt numFmtId="167" formatCode="0.000000"/>
    <numFmt numFmtId="168" formatCode="0.00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1F487C"/>
      <name val="Times New Roman"/>
      <family val="1"/>
      <charset val="1"/>
    </font>
    <font>
      <sz val="11"/>
      <color rgb="FF444444"/>
      <name val="Calibri"/>
      <family val="2"/>
      <charset val="1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indexed="8"/>
      <name val="Calibri"/>
      <family val="2"/>
    </font>
    <font>
      <sz val="12"/>
      <color rgb="FF1F4E79"/>
      <name val="Arial"/>
      <family val="2"/>
      <charset val="1"/>
    </font>
    <font>
      <sz val="14"/>
      <color rgb="FF1F487C"/>
      <name val="Times New Roman"/>
      <family val="1"/>
      <charset val="1"/>
    </font>
    <font>
      <sz val="11"/>
      <color rgb="FF1F487C"/>
      <name val="Calibri"/>
      <family val="2"/>
      <charset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Calibri"/>
      <family val="2"/>
      <charset val="1"/>
    </font>
    <font>
      <b/>
      <sz val="11"/>
      <color theme="1"/>
      <name val="Calibri"/>
      <family val="2"/>
      <charset val="1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name val="Times New Roman"/>
      <family val="1"/>
    </font>
    <font>
      <b/>
      <sz val="12"/>
      <name val="Arial"/>
      <family val="2"/>
    </font>
    <font>
      <sz val="12"/>
      <name val="Arial"/>
      <family val="2"/>
    </font>
    <font>
      <sz val="11"/>
      <name val="Times New Roman"/>
      <family val="1"/>
    </font>
    <font>
      <sz val="12"/>
      <color rgb="FF000000"/>
      <name val="Arial"/>
      <family val="2"/>
    </font>
    <font>
      <b/>
      <sz val="12"/>
      <color rgb="FF000000"/>
      <name val="Times New Roman"/>
      <family val="1"/>
    </font>
    <font>
      <sz val="11"/>
      <color indexed="8"/>
      <name val="Calibri"/>
      <family val="2"/>
    </font>
    <font>
      <b/>
      <sz val="11"/>
      <name val="Times New Roman"/>
      <family val="1"/>
    </font>
    <font>
      <u/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sz val="12"/>
      <color rgb="FF000000"/>
      <name val="Calibri"/>
      <family val="2"/>
    </font>
    <font>
      <sz val="13.5"/>
      <color rgb="FF333333"/>
      <name val="Georgia"/>
      <family val="1"/>
    </font>
    <font>
      <sz val="10"/>
      <color theme="1"/>
      <name val="Calibri"/>
      <family val="2"/>
      <scheme val="minor"/>
    </font>
    <font>
      <sz val="11"/>
      <color theme="2" tint="-9.9978637043366805E-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2" fontId="0" fillId="0" borderId="0" xfId="0" applyNumberFormat="1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wrapText="1"/>
    </xf>
    <xf numFmtId="2" fontId="1" fillId="0" borderId="0" xfId="0" applyNumberFormat="1" applyFont="1" applyAlignment="1">
      <alignment wrapText="1"/>
    </xf>
    <xf numFmtId="0" fontId="4" fillId="0" borderId="0" xfId="0" applyFont="1"/>
    <xf numFmtId="164" fontId="0" fillId="0" borderId="0" xfId="0" applyNumberFormat="1"/>
    <xf numFmtId="0" fontId="5" fillId="0" borderId="0" xfId="0" applyFont="1"/>
    <xf numFmtId="0" fontId="6" fillId="0" borderId="0" xfId="0" applyFont="1"/>
    <xf numFmtId="165" fontId="7" fillId="0" borderId="0" xfId="0" applyNumberFormat="1" applyFont="1"/>
    <xf numFmtId="0" fontId="0" fillId="0" borderId="0" xfId="0" applyAlignment="1">
      <alignment wrapText="1"/>
    </xf>
    <xf numFmtId="2" fontId="0" fillId="0" borderId="0" xfId="0" applyNumberFormat="1" applyAlignment="1">
      <alignment wrapText="1"/>
    </xf>
    <xf numFmtId="0" fontId="0" fillId="0" borderId="0" xfId="0" applyFont="1"/>
    <xf numFmtId="165" fontId="0" fillId="0" borderId="0" xfId="0" applyNumberFormat="1"/>
    <xf numFmtId="2" fontId="7" fillId="0" borderId="0" xfId="0" applyNumberFormat="1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7" fillId="0" borderId="0" xfId="0" applyFont="1"/>
    <xf numFmtId="0" fontId="11" fillId="0" borderId="0" xfId="0" applyFont="1" applyAlignment="1">
      <alignment wrapText="1"/>
    </xf>
    <xf numFmtId="0" fontId="13" fillId="0" borderId="0" xfId="0" applyFont="1"/>
    <xf numFmtId="0" fontId="14" fillId="0" borderId="0" xfId="0" applyFont="1"/>
    <xf numFmtId="2" fontId="1" fillId="0" borderId="0" xfId="0" applyNumberFormat="1" applyFont="1"/>
    <xf numFmtId="164" fontId="7" fillId="0" borderId="0" xfId="0" applyNumberFormat="1" applyFont="1"/>
    <xf numFmtId="0" fontId="15" fillId="0" borderId="0" xfId="0" applyFont="1"/>
    <xf numFmtId="0" fontId="16" fillId="0" borderId="0" xfId="0" applyFont="1"/>
    <xf numFmtId="2" fontId="1" fillId="2" borderId="0" xfId="0" applyNumberFormat="1" applyFont="1" applyFill="1"/>
    <xf numFmtId="0" fontId="1" fillId="2" borderId="0" xfId="0" applyFont="1" applyFill="1"/>
    <xf numFmtId="165" fontId="1" fillId="0" borderId="0" xfId="0" applyNumberFormat="1" applyFont="1"/>
    <xf numFmtId="0" fontId="0" fillId="3" borderId="0" xfId="0" applyFill="1"/>
    <xf numFmtId="2" fontId="7" fillId="3" borderId="0" xfId="0" applyNumberFormat="1" applyFont="1" applyFill="1"/>
    <xf numFmtId="2" fontId="0" fillId="0" borderId="0" xfId="0" applyNumberFormat="1" applyFont="1"/>
    <xf numFmtId="3" fontId="0" fillId="0" borderId="0" xfId="0" applyNumberFormat="1"/>
    <xf numFmtId="2" fontId="0" fillId="3" borderId="0" xfId="0" applyNumberFormat="1" applyFill="1"/>
    <xf numFmtId="0" fontId="17" fillId="4" borderId="0" xfId="0" applyFont="1" applyFill="1"/>
    <xf numFmtId="0" fontId="18" fillId="4" borderId="0" xfId="0" applyFont="1" applyFill="1"/>
    <xf numFmtId="0" fontId="18" fillId="0" borderId="0" xfId="0" applyFont="1"/>
    <xf numFmtId="0" fontId="1" fillId="0" borderId="0" xfId="0" applyFont="1" applyAlignment="1">
      <alignment horizontal="left"/>
    </xf>
    <xf numFmtId="3" fontId="18" fillId="0" borderId="0" xfId="0" applyNumberFormat="1" applyFont="1"/>
    <xf numFmtId="0" fontId="17" fillId="0" borderId="0" xfId="0" applyFont="1"/>
    <xf numFmtId="0" fontId="18" fillId="3" borderId="0" xfId="0" applyFont="1" applyFill="1"/>
    <xf numFmtId="0" fontId="0" fillId="4" borderId="0" xfId="0" applyFill="1"/>
    <xf numFmtId="0" fontId="16" fillId="4" borderId="0" xfId="0" applyFont="1" applyFill="1"/>
    <xf numFmtId="0" fontId="19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22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23" fillId="0" borderId="0" xfId="0" applyFont="1" applyAlignment="1">
      <alignment wrapText="1"/>
    </xf>
    <xf numFmtId="0" fontId="24" fillId="0" borderId="0" xfId="0" applyFont="1" applyAlignment="1">
      <alignment wrapText="1"/>
    </xf>
    <xf numFmtId="0" fontId="26" fillId="0" borderId="0" xfId="0" applyFont="1" applyAlignment="1">
      <alignment wrapText="1"/>
    </xf>
    <xf numFmtId="166" fontId="0" fillId="0" borderId="0" xfId="0" applyNumberFormat="1"/>
    <xf numFmtId="0" fontId="27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28" fillId="0" borderId="0" xfId="0" applyFont="1" applyAlignment="1">
      <alignment wrapText="1"/>
    </xf>
    <xf numFmtId="167" fontId="0" fillId="0" borderId="0" xfId="0" applyNumberFormat="1"/>
    <xf numFmtId="2" fontId="18" fillId="4" borderId="0" xfId="0" applyNumberFormat="1" applyFont="1" applyFill="1"/>
    <xf numFmtId="0" fontId="0" fillId="0" borderId="0" xfId="0" applyFill="1"/>
    <xf numFmtId="2" fontId="0" fillId="0" borderId="0" xfId="0" applyNumberFormat="1" applyFill="1"/>
    <xf numFmtId="0" fontId="17" fillId="0" borderId="0" xfId="0" applyFont="1" applyFill="1"/>
    <xf numFmtId="0" fontId="18" fillId="0" borderId="0" xfId="0" applyFont="1" applyFill="1"/>
    <xf numFmtId="2" fontId="18" fillId="0" borderId="0" xfId="0" applyNumberFormat="1" applyFont="1" applyFill="1"/>
    <xf numFmtId="0" fontId="1" fillId="0" borderId="0" xfId="0" applyFont="1" applyFill="1" applyAlignment="1">
      <alignment horizontal="left"/>
    </xf>
    <xf numFmtId="3" fontId="18" fillId="0" borderId="0" xfId="0" applyNumberFormat="1" applyFont="1" applyFill="1"/>
    <xf numFmtId="0" fontId="16" fillId="2" borderId="0" xfId="0" applyFont="1" applyFill="1"/>
    <xf numFmtId="0" fontId="15" fillId="0" borderId="0" xfId="0" applyFont="1" applyAlignment="1">
      <alignment wrapText="1"/>
    </xf>
    <xf numFmtId="0" fontId="15" fillId="5" borderId="0" xfId="0" applyFont="1" applyFill="1"/>
    <xf numFmtId="0" fontId="0" fillId="5" borderId="0" xfId="0" applyFill="1"/>
    <xf numFmtId="0" fontId="1" fillId="5" borderId="0" xfId="0" applyFont="1" applyFill="1"/>
    <xf numFmtId="2" fontId="25" fillId="0" borderId="0" xfId="0" applyNumberFormat="1" applyFont="1"/>
    <xf numFmtId="0" fontId="0" fillId="2" borderId="0" xfId="0" applyFill="1"/>
    <xf numFmtId="0" fontId="29" fillId="6" borderId="5" xfId="0" applyFont="1" applyFill="1" applyBorder="1" applyAlignment="1">
      <alignment wrapText="1"/>
    </xf>
    <xf numFmtId="0" fontId="29" fillId="7" borderId="1" xfId="0" applyFont="1" applyFill="1" applyBorder="1"/>
    <xf numFmtId="0" fontId="2" fillId="7" borderId="6" xfId="0" applyFont="1" applyFill="1" applyBorder="1" applyAlignment="1">
      <alignment horizontal="center"/>
    </xf>
    <xf numFmtId="0" fontId="29" fillId="0" borderId="1" xfId="0" applyFont="1" applyBorder="1" applyAlignment="1">
      <alignment wrapText="1"/>
    </xf>
    <xf numFmtId="165" fontId="30" fillId="0" borderId="6" xfId="0" applyNumberFormat="1" applyFont="1" applyBorder="1"/>
    <xf numFmtId="0" fontId="29" fillId="6" borderId="5" xfId="0" applyFont="1" applyFill="1" applyBorder="1"/>
    <xf numFmtId="2" fontId="29" fillId="0" borderId="1" xfId="0" applyNumberFormat="1" applyFont="1" applyBorder="1"/>
    <xf numFmtId="164" fontId="29" fillId="0" borderId="6" xfId="0" applyNumberFormat="1" applyFont="1" applyBorder="1"/>
    <xf numFmtId="2" fontId="29" fillId="0" borderId="6" xfId="0" applyNumberFormat="1" applyFont="1" applyBorder="1"/>
    <xf numFmtId="0" fontId="29" fillId="0" borderId="1" xfId="0" applyFont="1" applyBorder="1"/>
    <xf numFmtId="0" fontId="29" fillId="0" borderId="6" xfId="0" applyFont="1" applyBorder="1"/>
    <xf numFmtId="0" fontId="31" fillId="3" borderId="7" xfId="0" applyFont="1" applyFill="1" applyBorder="1"/>
    <xf numFmtId="0" fontId="29" fillId="3" borderId="8" xfId="0" applyFont="1" applyFill="1" applyBorder="1"/>
    <xf numFmtId="2" fontId="29" fillId="3" borderId="9" xfId="0" applyNumberFormat="1" applyFont="1" applyFill="1" applyBorder="1"/>
    <xf numFmtId="0" fontId="32" fillId="0" borderId="0" xfId="0" applyFont="1"/>
    <xf numFmtId="6" fontId="0" fillId="0" borderId="0" xfId="0" applyNumberFormat="1"/>
    <xf numFmtId="0" fontId="1" fillId="3" borderId="10" xfId="0" applyFont="1" applyFill="1" applyBorder="1"/>
    <xf numFmtId="0" fontId="1" fillId="3" borderId="11" xfId="0" applyFont="1" applyFill="1" applyBorder="1"/>
    <xf numFmtId="0" fontId="0" fillId="0" borderId="5" xfId="0" applyFont="1" applyBorder="1"/>
    <xf numFmtId="0" fontId="0" fillId="0" borderId="6" xfId="0" applyBorder="1"/>
    <xf numFmtId="0" fontId="33" fillId="0" borderId="0" xfId="0" applyFont="1"/>
    <xf numFmtId="0" fontId="0" fillId="0" borderId="5" xfId="0" applyBorder="1"/>
    <xf numFmtId="0" fontId="0" fillId="8" borderId="5" xfId="0" applyFill="1" applyBorder="1"/>
    <xf numFmtId="0" fontId="0" fillId="8" borderId="6" xfId="0" applyFill="1" applyBorder="1"/>
    <xf numFmtId="0" fontId="34" fillId="5" borderId="12" xfId="0" applyFont="1" applyFill="1" applyBorder="1"/>
    <xf numFmtId="0" fontId="34" fillId="5" borderId="13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0" fillId="8" borderId="7" xfId="0" applyFill="1" applyBorder="1"/>
    <xf numFmtId="0" fontId="0" fillId="8" borderId="9" xfId="0" applyFill="1" applyBorder="1"/>
    <xf numFmtId="0" fontId="16" fillId="0" borderId="0" xfId="0" applyFont="1" applyFill="1"/>
    <xf numFmtId="0" fontId="1" fillId="0" borderId="0" xfId="0" applyFont="1" applyFill="1"/>
    <xf numFmtId="165" fontId="25" fillId="0" borderId="0" xfId="0" applyNumberFormat="1" applyFont="1" applyFill="1"/>
    <xf numFmtId="164" fontId="0" fillId="0" borderId="0" xfId="0" applyNumberFormat="1" applyFill="1"/>
    <xf numFmtId="0" fontId="16" fillId="0" borderId="1" xfId="0" applyFont="1" applyBorder="1"/>
    <xf numFmtId="0" fontId="15" fillId="0" borderId="1" xfId="0" applyFont="1" applyBorder="1"/>
    <xf numFmtId="0" fontId="16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2" fontId="16" fillId="0" borderId="1" xfId="0" applyNumberFormat="1" applyFont="1" applyBorder="1"/>
    <xf numFmtId="2" fontId="16" fillId="2" borderId="1" xfId="0" applyNumberFormat="1" applyFont="1" applyFill="1" applyBorder="1"/>
    <xf numFmtId="168" fontId="0" fillId="0" borderId="9" xfId="0" applyNumberFormat="1" applyBorder="1"/>
    <xf numFmtId="0" fontId="0" fillId="0" borderId="10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2" fillId="7" borderId="2" xfId="0" applyFont="1" applyFill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0" fontId="2" fillId="7" borderId="4" xfId="0" applyFont="1" applyFill="1" applyBorder="1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137"/>
  <sheetViews>
    <sheetView topLeftCell="A45" zoomScale="81" zoomScaleNormal="81" workbookViewId="0">
      <selection activeCell="A18" sqref="A18"/>
    </sheetView>
  </sheetViews>
  <sheetFormatPr defaultRowHeight="14.5" x14ac:dyDescent="0.35"/>
  <cols>
    <col min="1" max="1" width="35.7265625" customWidth="1"/>
    <col min="2" max="2" width="10" customWidth="1"/>
    <col min="3" max="3" width="10.26953125" customWidth="1"/>
    <col min="4" max="4" width="10.1796875" customWidth="1"/>
    <col min="5" max="5" width="15" style="2" customWidth="1"/>
    <col min="6" max="6" width="21.81640625" customWidth="1"/>
    <col min="7" max="7" width="11.81640625" customWidth="1"/>
    <col min="8" max="8" width="10.453125" style="2" customWidth="1"/>
    <col min="9" max="9" width="10.26953125" style="2" customWidth="1"/>
    <col min="13" max="13" width="8.7265625" style="2"/>
    <col min="14" max="14" width="10.453125" customWidth="1"/>
    <col min="15" max="15" width="11" customWidth="1"/>
    <col min="16" max="16" width="9.453125" customWidth="1"/>
    <col min="17" max="17" width="12.7265625" customWidth="1"/>
    <col min="18" max="18" width="11.54296875" customWidth="1"/>
    <col min="21" max="21" width="76.7265625" customWidth="1"/>
    <col min="22" max="22" width="34.7265625" customWidth="1"/>
    <col min="23" max="23" width="52.81640625" customWidth="1"/>
    <col min="24" max="24" width="27.81640625" customWidth="1"/>
    <col min="257" max="257" width="72.453125" customWidth="1"/>
    <col min="258" max="258" width="10" customWidth="1"/>
    <col min="259" max="259" width="10.26953125" customWidth="1"/>
    <col min="260" max="260" width="10.1796875" customWidth="1"/>
    <col min="261" max="261" width="10.54296875" customWidth="1"/>
    <col min="262" max="262" width="21.81640625" customWidth="1"/>
    <col min="263" max="263" width="11.1796875" customWidth="1"/>
    <col min="264" max="264" width="10.453125" customWidth="1"/>
    <col min="513" max="513" width="72.453125" customWidth="1"/>
    <col min="514" max="514" width="10" customWidth="1"/>
    <col min="515" max="515" width="10.26953125" customWidth="1"/>
    <col min="516" max="516" width="10.1796875" customWidth="1"/>
    <col min="517" max="517" width="10.54296875" customWidth="1"/>
    <col min="518" max="518" width="21.81640625" customWidth="1"/>
    <col min="519" max="519" width="11.1796875" customWidth="1"/>
    <col min="520" max="520" width="10.453125" customWidth="1"/>
    <col min="769" max="769" width="72.453125" customWidth="1"/>
    <col min="770" max="770" width="10" customWidth="1"/>
    <col min="771" max="771" width="10.26953125" customWidth="1"/>
    <col min="772" max="772" width="10.1796875" customWidth="1"/>
    <col min="773" max="773" width="10.54296875" customWidth="1"/>
    <col min="774" max="774" width="21.81640625" customWidth="1"/>
    <col min="775" max="775" width="11.1796875" customWidth="1"/>
    <col min="776" max="776" width="10.453125" customWidth="1"/>
    <col min="1025" max="1025" width="72.453125" customWidth="1"/>
    <col min="1026" max="1026" width="10" customWidth="1"/>
    <col min="1027" max="1027" width="10.26953125" customWidth="1"/>
    <col min="1028" max="1028" width="10.1796875" customWidth="1"/>
    <col min="1029" max="1029" width="10.54296875" customWidth="1"/>
    <col min="1030" max="1030" width="21.81640625" customWidth="1"/>
    <col min="1031" max="1031" width="11.1796875" customWidth="1"/>
    <col min="1032" max="1032" width="10.453125" customWidth="1"/>
    <col min="1281" max="1281" width="72.453125" customWidth="1"/>
    <col min="1282" max="1282" width="10" customWidth="1"/>
    <col min="1283" max="1283" width="10.26953125" customWidth="1"/>
    <col min="1284" max="1284" width="10.1796875" customWidth="1"/>
    <col min="1285" max="1285" width="10.54296875" customWidth="1"/>
    <col min="1286" max="1286" width="21.81640625" customWidth="1"/>
    <col min="1287" max="1287" width="11.1796875" customWidth="1"/>
    <col min="1288" max="1288" width="10.453125" customWidth="1"/>
    <col min="1537" max="1537" width="72.453125" customWidth="1"/>
    <col min="1538" max="1538" width="10" customWidth="1"/>
    <col min="1539" max="1539" width="10.26953125" customWidth="1"/>
    <col min="1540" max="1540" width="10.1796875" customWidth="1"/>
    <col min="1541" max="1541" width="10.54296875" customWidth="1"/>
    <col min="1542" max="1542" width="21.81640625" customWidth="1"/>
    <col min="1543" max="1543" width="11.1796875" customWidth="1"/>
    <col min="1544" max="1544" width="10.453125" customWidth="1"/>
    <col min="1793" max="1793" width="72.453125" customWidth="1"/>
    <col min="1794" max="1794" width="10" customWidth="1"/>
    <col min="1795" max="1795" width="10.26953125" customWidth="1"/>
    <col min="1796" max="1796" width="10.1796875" customWidth="1"/>
    <col min="1797" max="1797" width="10.54296875" customWidth="1"/>
    <col min="1798" max="1798" width="21.81640625" customWidth="1"/>
    <col min="1799" max="1799" width="11.1796875" customWidth="1"/>
    <col min="1800" max="1800" width="10.453125" customWidth="1"/>
    <col min="2049" max="2049" width="72.453125" customWidth="1"/>
    <col min="2050" max="2050" width="10" customWidth="1"/>
    <col min="2051" max="2051" width="10.26953125" customWidth="1"/>
    <col min="2052" max="2052" width="10.1796875" customWidth="1"/>
    <col min="2053" max="2053" width="10.54296875" customWidth="1"/>
    <col min="2054" max="2054" width="21.81640625" customWidth="1"/>
    <col min="2055" max="2055" width="11.1796875" customWidth="1"/>
    <col min="2056" max="2056" width="10.453125" customWidth="1"/>
    <col min="2305" max="2305" width="72.453125" customWidth="1"/>
    <col min="2306" max="2306" width="10" customWidth="1"/>
    <col min="2307" max="2307" width="10.26953125" customWidth="1"/>
    <col min="2308" max="2308" width="10.1796875" customWidth="1"/>
    <col min="2309" max="2309" width="10.54296875" customWidth="1"/>
    <col min="2310" max="2310" width="21.81640625" customWidth="1"/>
    <col min="2311" max="2311" width="11.1796875" customWidth="1"/>
    <col min="2312" max="2312" width="10.453125" customWidth="1"/>
    <col min="2561" max="2561" width="72.453125" customWidth="1"/>
    <col min="2562" max="2562" width="10" customWidth="1"/>
    <col min="2563" max="2563" width="10.26953125" customWidth="1"/>
    <col min="2564" max="2564" width="10.1796875" customWidth="1"/>
    <col min="2565" max="2565" width="10.54296875" customWidth="1"/>
    <col min="2566" max="2566" width="21.81640625" customWidth="1"/>
    <col min="2567" max="2567" width="11.1796875" customWidth="1"/>
    <col min="2568" max="2568" width="10.453125" customWidth="1"/>
    <col min="2817" max="2817" width="72.453125" customWidth="1"/>
    <col min="2818" max="2818" width="10" customWidth="1"/>
    <col min="2819" max="2819" width="10.26953125" customWidth="1"/>
    <col min="2820" max="2820" width="10.1796875" customWidth="1"/>
    <col min="2821" max="2821" width="10.54296875" customWidth="1"/>
    <col min="2822" max="2822" width="21.81640625" customWidth="1"/>
    <col min="2823" max="2823" width="11.1796875" customWidth="1"/>
    <col min="2824" max="2824" width="10.453125" customWidth="1"/>
    <col min="3073" max="3073" width="72.453125" customWidth="1"/>
    <col min="3074" max="3074" width="10" customWidth="1"/>
    <col min="3075" max="3075" width="10.26953125" customWidth="1"/>
    <col min="3076" max="3076" width="10.1796875" customWidth="1"/>
    <col min="3077" max="3077" width="10.54296875" customWidth="1"/>
    <col min="3078" max="3078" width="21.81640625" customWidth="1"/>
    <col min="3079" max="3079" width="11.1796875" customWidth="1"/>
    <col min="3080" max="3080" width="10.453125" customWidth="1"/>
    <col min="3329" max="3329" width="72.453125" customWidth="1"/>
    <col min="3330" max="3330" width="10" customWidth="1"/>
    <col min="3331" max="3331" width="10.26953125" customWidth="1"/>
    <col min="3332" max="3332" width="10.1796875" customWidth="1"/>
    <col min="3333" max="3333" width="10.54296875" customWidth="1"/>
    <col min="3334" max="3334" width="21.81640625" customWidth="1"/>
    <col min="3335" max="3335" width="11.1796875" customWidth="1"/>
    <col min="3336" max="3336" width="10.453125" customWidth="1"/>
    <col min="3585" max="3585" width="72.453125" customWidth="1"/>
    <col min="3586" max="3586" width="10" customWidth="1"/>
    <col min="3587" max="3587" width="10.26953125" customWidth="1"/>
    <col min="3588" max="3588" width="10.1796875" customWidth="1"/>
    <col min="3589" max="3589" width="10.54296875" customWidth="1"/>
    <col min="3590" max="3590" width="21.81640625" customWidth="1"/>
    <col min="3591" max="3591" width="11.1796875" customWidth="1"/>
    <col min="3592" max="3592" width="10.453125" customWidth="1"/>
    <col min="3841" max="3841" width="72.453125" customWidth="1"/>
    <col min="3842" max="3842" width="10" customWidth="1"/>
    <col min="3843" max="3843" width="10.26953125" customWidth="1"/>
    <col min="3844" max="3844" width="10.1796875" customWidth="1"/>
    <col min="3845" max="3845" width="10.54296875" customWidth="1"/>
    <col min="3846" max="3846" width="21.81640625" customWidth="1"/>
    <col min="3847" max="3847" width="11.1796875" customWidth="1"/>
    <col min="3848" max="3848" width="10.453125" customWidth="1"/>
    <col min="4097" max="4097" width="72.453125" customWidth="1"/>
    <col min="4098" max="4098" width="10" customWidth="1"/>
    <col min="4099" max="4099" width="10.26953125" customWidth="1"/>
    <col min="4100" max="4100" width="10.1796875" customWidth="1"/>
    <col min="4101" max="4101" width="10.54296875" customWidth="1"/>
    <col min="4102" max="4102" width="21.81640625" customWidth="1"/>
    <col min="4103" max="4103" width="11.1796875" customWidth="1"/>
    <col min="4104" max="4104" width="10.453125" customWidth="1"/>
    <col min="4353" max="4353" width="72.453125" customWidth="1"/>
    <col min="4354" max="4354" width="10" customWidth="1"/>
    <col min="4355" max="4355" width="10.26953125" customWidth="1"/>
    <col min="4356" max="4356" width="10.1796875" customWidth="1"/>
    <col min="4357" max="4357" width="10.54296875" customWidth="1"/>
    <col min="4358" max="4358" width="21.81640625" customWidth="1"/>
    <col min="4359" max="4359" width="11.1796875" customWidth="1"/>
    <col min="4360" max="4360" width="10.453125" customWidth="1"/>
    <col min="4609" max="4609" width="72.453125" customWidth="1"/>
    <col min="4610" max="4610" width="10" customWidth="1"/>
    <col min="4611" max="4611" width="10.26953125" customWidth="1"/>
    <col min="4612" max="4612" width="10.1796875" customWidth="1"/>
    <col min="4613" max="4613" width="10.54296875" customWidth="1"/>
    <col min="4614" max="4614" width="21.81640625" customWidth="1"/>
    <col min="4615" max="4615" width="11.1796875" customWidth="1"/>
    <col min="4616" max="4616" width="10.453125" customWidth="1"/>
    <col min="4865" max="4865" width="72.453125" customWidth="1"/>
    <col min="4866" max="4866" width="10" customWidth="1"/>
    <col min="4867" max="4867" width="10.26953125" customWidth="1"/>
    <col min="4868" max="4868" width="10.1796875" customWidth="1"/>
    <col min="4869" max="4869" width="10.54296875" customWidth="1"/>
    <col min="4870" max="4870" width="21.81640625" customWidth="1"/>
    <col min="4871" max="4871" width="11.1796875" customWidth="1"/>
    <col min="4872" max="4872" width="10.453125" customWidth="1"/>
    <col min="5121" max="5121" width="72.453125" customWidth="1"/>
    <col min="5122" max="5122" width="10" customWidth="1"/>
    <col min="5123" max="5123" width="10.26953125" customWidth="1"/>
    <col min="5124" max="5124" width="10.1796875" customWidth="1"/>
    <col min="5125" max="5125" width="10.54296875" customWidth="1"/>
    <col min="5126" max="5126" width="21.81640625" customWidth="1"/>
    <col min="5127" max="5127" width="11.1796875" customWidth="1"/>
    <col min="5128" max="5128" width="10.453125" customWidth="1"/>
    <col min="5377" max="5377" width="72.453125" customWidth="1"/>
    <col min="5378" max="5378" width="10" customWidth="1"/>
    <col min="5379" max="5379" width="10.26953125" customWidth="1"/>
    <col min="5380" max="5380" width="10.1796875" customWidth="1"/>
    <col min="5381" max="5381" width="10.54296875" customWidth="1"/>
    <col min="5382" max="5382" width="21.81640625" customWidth="1"/>
    <col min="5383" max="5383" width="11.1796875" customWidth="1"/>
    <col min="5384" max="5384" width="10.453125" customWidth="1"/>
    <col min="5633" max="5633" width="72.453125" customWidth="1"/>
    <col min="5634" max="5634" width="10" customWidth="1"/>
    <col min="5635" max="5635" width="10.26953125" customWidth="1"/>
    <col min="5636" max="5636" width="10.1796875" customWidth="1"/>
    <col min="5637" max="5637" width="10.54296875" customWidth="1"/>
    <col min="5638" max="5638" width="21.81640625" customWidth="1"/>
    <col min="5639" max="5639" width="11.1796875" customWidth="1"/>
    <col min="5640" max="5640" width="10.453125" customWidth="1"/>
    <col min="5889" max="5889" width="72.453125" customWidth="1"/>
    <col min="5890" max="5890" width="10" customWidth="1"/>
    <col min="5891" max="5891" width="10.26953125" customWidth="1"/>
    <col min="5892" max="5892" width="10.1796875" customWidth="1"/>
    <col min="5893" max="5893" width="10.54296875" customWidth="1"/>
    <col min="5894" max="5894" width="21.81640625" customWidth="1"/>
    <col min="5895" max="5895" width="11.1796875" customWidth="1"/>
    <col min="5896" max="5896" width="10.453125" customWidth="1"/>
    <col min="6145" max="6145" width="72.453125" customWidth="1"/>
    <col min="6146" max="6146" width="10" customWidth="1"/>
    <col min="6147" max="6147" width="10.26953125" customWidth="1"/>
    <col min="6148" max="6148" width="10.1796875" customWidth="1"/>
    <col min="6149" max="6149" width="10.54296875" customWidth="1"/>
    <col min="6150" max="6150" width="21.81640625" customWidth="1"/>
    <col min="6151" max="6151" width="11.1796875" customWidth="1"/>
    <col min="6152" max="6152" width="10.453125" customWidth="1"/>
    <col min="6401" max="6401" width="72.453125" customWidth="1"/>
    <col min="6402" max="6402" width="10" customWidth="1"/>
    <col min="6403" max="6403" width="10.26953125" customWidth="1"/>
    <col min="6404" max="6404" width="10.1796875" customWidth="1"/>
    <col min="6405" max="6405" width="10.54296875" customWidth="1"/>
    <col min="6406" max="6406" width="21.81640625" customWidth="1"/>
    <col min="6407" max="6407" width="11.1796875" customWidth="1"/>
    <col min="6408" max="6408" width="10.453125" customWidth="1"/>
    <col min="6657" max="6657" width="72.453125" customWidth="1"/>
    <col min="6658" max="6658" width="10" customWidth="1"/>
    <col min="6659" max="6659" width="10.26953125" customWidth="1"/>
    <col min="6660" max="6660" width="10.1796875" customWidth="1"/>
    <col min="6661" max="6661" width="10.54296875" customWidth="1"/>
    <col min="6662" max="6662" width="21.81640625" customWidth="1"/>
    <col min="6663" max="6663" width="11.1796875" customWidth="1"/>
    <col min="6664" max="6664" width="10.453125" customWidth="1"/>
    <col min="6913" max="6913" width="72.453125" customWidth="1"/>
    <col min="6914" max="6914" width="10" customWidth="1"/>
    <col min="6915" max="6915" width="10.26953125" customWidth="1"/>
    <col min="6916" max="6916" width="10.1796875" customWidth="1"/>
    <col min="6917" max="6917" width="10.54296875" customWidth="1"/>
    <col min="6918" max="6918" width="21.81640625" customWidth="1"/>
    <col min="6919" max="6919" width="11.1796875" customWidth="1"/>
    <col min="6920" max="6920" width="10.453125" customWidth="1"/>
    <col min="7169" max="7169" width="72.453125" customWidth="1"/>
    <col min="7170" max="7170" width="10" customWidth="1"/>
    <col min="7171" max="7171" width="10.26953125" customWidth="1"/>
    <col min="7172" max="7172" width="10.1796875" customWidth="1"/>
    <col min="7173" max="7173" width="10.54296875" customWidth="1"/>
    <col min="7174" max="7174" width="21.81640625" customWidth="1"/>
    <col min="7175" max="7175" width="11.1796875" customWidth="1"/>
    <col min="7176" max="7176" width="10.453125" customWidth="1"/>
    <col min="7425" max="7425" width="72.453125" customWidth="1"/>
    <col min="7426" max="7426" width="10" customWidth="1"/>
    <col min="7427" max="7427" width="10.26953125" customWidth="1"/>
    <col min="7428" max="7428" width="10.1796875" customWidth="1"/>
    <col min="7429" max="7429" width="10.54296875" customWidth="1"/>
    <col min="7430" max="7430" width="21.81640625" customWidth="1"/>
    <col min="7431" max="7431" width="11.1796875" customWidth="1"/>
    <col min="7432" max="7432" width="10.453125" customWidth="1"/>
    <col min="7681" max="7681" width="72.453125" customWidth="1"/>
    <col min="7682" max="7682" width="10" customWidth="1"/>
    <col min="7683" max="7683" width="10.26953125" customWidth="1"/>
    <col min="7684" max="7684" width="10.1796875" customWidth="1"/>
    <col min="7685" max="7685" width="10.54296875" customWidth="1"/>
    <col min="7686" max="7686" width="21.81640625" customWidth="1"/>
    <col min="7687" max="7687" width="11.1796875" customWidth="1"/>
    <col min="7688" max="7688" width="10.453125" customWidth="1"/>
    <col min="7937" max="7937" width="72.453125" customWidth="1"/>
    <col min="7938" max="7938" width="10" customWidth="1"/>
    <col min="7939" max="7939" width="10.26953125" customWidth="1"/>
    <col min="7940" max="7940" width="10.1796875" customWidth="1"/>
    <col min="7941" max="7941" width="10.54296875" customWidth="1"/>
    <col min="7942" max="7942" width="21.81640625" customWidth="1"/>
    <col min="7943" max="7943" width="11.1796875" customWidth="1"/>
    <col min="7944" max="7944" width="10.453125" customWidth="1"/>
    <col min="8193" max="8193" width="72.453125" customWidth="1"/>
    <col min="8194" max="8194" width="10" customWidth="1"/>
    <col min="8195" max="8195" width="10.26953125" customWidth="1"/>
    <col min="8196" max="8196" width="10.1796875" customWidth="1"/>
    <col min="8197" max="8197" width="10.54296875" customWidth="1"/>
    <col min="8198" max="8198" width="21.81640625" customWidth="1"/>
    <col min="8199" max="8199" width="11.1796875" customWidth="1"/>
    <col min="8200" max="8200" width="10.453125" customWidth="1"/>
    <col min="8449" max="8449" width="72.453125" customWidth="1"/>
    <col min="8450" max="8450" width="10" customWidth="1"/>
    <col min="8451" max="8451" width="10.26953125" customWidth="1"/>
    <col min="8452" max="8452" width="10.1796875" customWidth="1"/>
    <col min="8453" max="8453" width="10.54296875" customWidth="1"/>
    <col min="8454" max="8454" width="21.81640625" customWidth="1"/>
    <col min="8455" max="8455" width="11.1796875" customWidth="1"/>
    <col min="8456" max="8456" width="10.453125" customWidth="1"/>
    <col min="8705" max="8705" width="72.453125" customWidth="1"/>
    <col min="8706" max="8706" width="10" customWidth="1"/>
    <col min="8707" max="8707" width="10.26953125" customWidth="1"/>
    <col min="8708" max="8708" width="10.1796875" customWidth="1"/>
    <col min="8709" max="8709" width="10.54296875" customWidth="1"/>
    <col min="8710" max="8710" width="21.81640625" customWidth="1"/>
    <col min="8711" max="8711" width="11.1796875" customWidth="1"/>
    <col min="8712" max="8712" width="10.453125" customWidth="1"/>
    <col min="8961" max="8961" width="72.453125" customWidth="1"/>
    <col min="8962" max="8962" width="10" customWidth="1"/>
    <col min="8963" max="8963" width="10.26953125" customWidth="1"/>
    <col min="8964" max="8964" width="10.1796875" customWidth="1"/>
    <col min="8965" max="8965" width="10.54296875" customWidth="1"/>
    <col min="8966" max="8966" width="21.81640625" customWidth="1"/>
    <col min="8967" max="8967" width="11.1796875" customWidth="1"/>
    <col min="8968" max="8968" width="10.453125" customWidth="1"/>
    <col min="9217" max="9217" width="72.453125" customWidth="1"/>
    <col min="9218" max="9218" width="10" customWidth="1"/>
    <col min="9219" max="9219" width="10.26953125" customWidth="1"/>
    <col min="9220" max="9220" width="10.1796875" customWidth="1"/>
    <col min="9221" max="9221" width="10.54296875" customWidth="1"/>
    <col min="9222" max="9222" width="21.81640625" customWidth="1"/>
    <col min="9223" max="9223" width="11.1796875" customWidth="1"/>
    <col min="9224" max="9224" width="10.453125" customWidth="1"/>
    <col min="9473" max="9473" width="72.453125" customWidth="1"/>
    <col min="9474" max="9474" width="10" customWidth="1"/>
    <col min="9475" max="9475" width="10.26953125" customWidth="1"/>
    <col min="9476" max="9476" width="10.1796875" customWidth="1"/>
    <col min="9477" max="9477" width="10.54296875" customWidth="1"/>
    <col min="9478" max="9478" width="21.81640625" customWidth="1"/>
    <col min="9479" max="9479" width="11.1796875" customWidth="1"/>
    <col min="9480" max="9480" width="10.453125" customWidth="1"/>
    <col min="9729" max="9729" width="72.453125" customWidth="1"/>
    <col min="9730" max="9730" width="10" customWidth="1"/>
    <col min="9731" max="9731" width="10.26953125" customWidth="1"/>
    <col min="9732" max="9732" width="10.1796875" customWidth="1"/>
    <col min="9733" max="9733" width="10.54296875" customWidth="1"/>
    <col min="9734" max="9734" width="21.81640625" customWidth="1"/>
    <col min="9735" max="9735" width="11.1796875" customWidth="1"/>
    <col min="9736" max="9736" width="10.453125" customWidth="1"/>
    <col min="9985" max="9985" width="72.453125" customWidth="1"/>
    <col min="9986" max="9986" width="10" customWidth="1"/>
    <col min="9987" max="9987" width="10.26953125" customWidth="1"/>
    <col min="9988" max="9988" width="10.1796875" customWidth="1"/>
    <col min="9989" max="9989" width="10.54296875" customWidth="1"/>
    <col min="9990" max="9990" width="21.81640625" customWidth="1"/>
    <col min="9991" max="9991" width="11.1796875" customWidth="1"/>
    <col min="9992" max="9992" width="10.453125" customWidth="1"/>
    <col min="10241" max="10241" width="72.453125" customWidth="1"/>
    <col min="10242" max="10242" width="10" customWidth="1"/>
    <col min="10243" max="10243" width="10.26953125" customWidth="1"/>
    <col min="10244" max="10244" width="10.1796875" customWidth="1"/>
    <col min="10245" max="10245" width="10.54296875" customWidth="1"/>
    <col min="10246" max="10246" width="21.81640625" customWidth="1"/>
    <col min="10247" max="10247" width="11.1796875" customWidth="1"/>
    <col min="10248" max="10248" width="10.453125" customWidth="1"/>
    <col min="10497" max="10497" width="72.453125" customWidth="1"/>
    <col min="10498" max="10498" width="10" customWidth="1"/>
    <col min="10499" max="10499" width="10.26953125" customWidth="1"/>
    <col min="10500" max="10500" width="10.1796875" customWidth="1"/>
    <col min="10501" max="10501" width="10.54296875" customWidth="1"/>
    <col min="10502" max="10502" width="21.81640625" customWidth="1"/>
    <col min="10503" max="10503" width="11.1796875" customWidth="1"/>
    <col min="10504" max="10504" width="10.453125" customWidth="1"/>
    <col min="10753" max="10753" width="72.453125" customWidth="1"/>
    <col min="10754" max="10754" width="10" customWidth="1"/>
    <col min="10755" max="10755" width="10.26953125" customWidth="1"/>
    <col min="10756" max="10756" width="10.1796875" customWidth="1"/>
    <col min="10757" max="10757" width="10.54296875" customWidth="1"/>
    <col min="10758" max="10758" width="21.81640625" customWidth="1"/>
    <col min="10759" max="10759" width="11.1796875" customWidth="1"/>
    <col min="10760" max="10760" width="10.453125" customWidth="1"/>
    <col min="11009" max="11009" width="72.453125" customWidth="1"/>
    <col min="11010" max="11010" width="10" customWidth="1"/>
    <col min="11011" max="11011" width="10.26953125" customWidth="1"/>
    <col min="11012" max="11012" width="10.1796875" customWidth="1"/>
    <col min="11013" max="11013" width="10.54296875" customWidth="1"/>
    <col min="11014" max="11014" width="21.81640625" customWidth="1"/>
    <col min="11015" max="11015" width="11.1796875" customWidth="1"/>
    <col min="11016" max="11016" width="10.453125" customWidth="1"/>
    <col min="11265" max="11265" width="72.453125" customWidth="1"/>
    <col min="11266" max="11266" width="10" customWidth="1"/>
    <col min="11267" max="11267" width="10.26953125" customWidth="1"/>
    <col min="11268" max="11268" width="10.1796875" customWidth="1"/>
    <col min="11269" max="11269" width="10.54296875" customWidth="1"/>
    <col min="11270" max="11270" width="21.81640625" customWidth="1"/>
    <col min="11271" max="11271" width="11.1796875" customWidth="1"/>
    <col min="11272" max="11272" width="10.453125" customWidth="1"/>
    <col min="11521" max="11521" width="72.453125" customWidth="1"/>
    <col min="11522" max="11522" width="10" customWidth="1"/>
    <col min="11523" max="11523" width="10.26953125" customWidth="1"/>
    <col min="11524" max="11524" width="10.1796875" customWidth="1"/>
    <col min="11525" max="11525" width="10.54296875" customWidth="1"/>
    <col min="11526" max="11526" width="21.81640625" customWidth="1"/>
    <col min="11527" max="11527" width="11.1796875" customWidth="1"/>
    <col min="11528" max="11528" width="10.453125" customWidth="1"/>
    <col min="11777" max="11777" width="72.453125" customWidth="1"/>
    <col min="11778" max="11778" width="10" customWidth="1"/>
    <col min="11779" max="11779" width="10.26953125" customWidth="1"/>
    <col min="11780" max="11780" width="10.1796875" customWidth="1"/>
    <col min="11781" max="11781" width="10.54296875" customWidth="1"/>
    <col min="11782" max="11782" width="21.81640625" customWidth="1"/>
    <col min="11783" max="11783" width="11.1796875" customWidth="1"/>
    <col min="11784" max="11784" width="10.453125" customWidth="1"/>
    <col min="12033" max="12033" width="72.453125" customWidth="1"/>
    <col min="12034" max="12034" width="10" customWidth="1"/>
    <col min="12035" max="12035" width="10.26953125" customWidth="1"/>
    <col min="12036" max="12036" width="10.1796875" customWidth="1"/>
    <col min="12037" max="12037" width="10.54296875" customWidth="1"/>
    <col min="12038" max="12038" width="21.81640625" customWidth="1"/>
    <col min="12039" max="12039" width="11.1796875" customWidth="1"/>
    <col min="12040" max="12040" width="10.453125" customWidth="1"/>
    <col min="12289" max="12289" width="72.453125" customWidth="1"/>
    <col min="12290" max="12290" width="10" customWidth="1"/>
    <col min="12291" max="12291" width="10.26953125" customWidth="1"/>
    <col min="12292" max="12292" width="10.1796875" customWidth="1"/>
    <col min="12293" max="12293" width="10.54296875" customWidth="1"/>
    <col min="12294" max="12294" width="21.81640625" customWidth="1"/>
    <col min="12295" max="12295" width="11.1796875" customWidth="1"/>
    <col min="12296" max="12296" width="10.453125" customWidth="1"/>
    <col min="12545" max="12545" width="72.453125" customWidth="1"/>
    <col min="12546" max="12546" width="10" customWidth="1"/>
    <col min="12547" max="12547" width="10.26953125" customWidth="1"/>
    <col min="12548" max="12548" width="10.1796875" customWidth="1"/>
    <col min="12549" max="12549" width="10.54296875" customWidth="1"/>
    <col min="12550" max="12550" width="21.81640625" customWidth="1"/>
    <col min="12551" max="12551" width="11.1796875" customWidth="1"/>
    <col min="12552" max="12552" width="10.453125" customWidth="1"/>
    <col min="12801" max="12801" width="72.453125" customWidth="1"/>
    <col min="12802" max="12802" width="10" customWidth="1"/>
    <col min="12803" max="12803" width="10.26953125" customWidth="1"/>
    <col min="12804" max="12804" width="10.1796875" customWidth="1"/>
    <col min="12805" max="12805" width="10.54296875" customWidth="1"/>
    <col min="12806" max="12806" width="21.81640625" customWidth="1"/>
    <col min="12807" max="12807" width="11.1796875" customWidth="1"/>
    <col min="12808" max="12808" width="10.453125" customWidth="1"/>
    <col min="13057" max="13057" width="72.453125" customWidth="1"/>
    <col min="13058" max="13058" width="10" customWidth="1"/>
    <col min="13059" max="13059" width="10.26953125" customWidth="1"/>
    <col min="13060" max="13060" width="10.1796875" customWidth="1"/>
    <col min="13061" max="13061" width="10.54296875" customWidth="1"/>
    <col min="13062" max="13062" width="21.81640625" customWidth="1"/>
    <col min="13063" max="13063" width="11.1796875" customWidth="1"/>
    <col min="13064" max="13064" width="10.453125" customWidth="1"/>
    <col min="13313" max="13313" width="72.453125" customWidth="1"/>
    <col min="13314" max="13314" width="10" customWidth="1"/>
    <col min="13315" max="13315" width="10.26953125" customWidth="1"/>
    <col min="13316" max="13316" width="10.1796875" customWidth="1"/>
    <col min="13317" max="13317" width="10.54296875" customWidth="1"/>
    <col min="13318" max="13318" width="21.81640625" customWidth="1"/>
    <col min="13319" max="13319" width="11.1796875" customWidth="1"/>
    <col min="13320" max="13320" width="10.453125" customWidth="1"/>
    <col min="13569" max="13569" width="72.453125" customWidth="1"/>
    <col min="13570" max="13570" width="10" customWidth="1"/>
    <col min="13571" max="13571" width="10.26953125" customWidth="1"/>
    <col min="13572" max="13572" width="10.1796875" customWidth="1"/>
    <col min="13573" max="13573" width="10.54296875" customWidth="1"/>
    <col min="13574" max="13574" width="21.81640625" customWidth="1"/>
    <col min="13575" max="13575" width="11.1796875" customWidth="1"/>
    <col min="13576" max="13576" width="10.453125" customWidth="1"/>
    <col min="13825" max="13825" width="72.453125" customWidth="1"/>
    <col min="13826" max="13826" width="10" customWidth="1"/>
    <col min="13827" max="13827" width="10.26953125" customWidth="1"/>
    <col min="13828" max="13828" width="10.1796875" customWidth="1"/>
    <col min="13829" max="13829" width="10.54296875" customWidth="1"/>
    <col min="13830" max="13830" width="21.81640625" customWidth="1"/>
    <col min="13831" max="13831" width="11.1796875" customWidth="1"/>
    <col min="13832" max="13832" width="10.453125" customWidth="1"/>
    <col min="14081" max="14081" width="72.453125" customWidth="1"/>
    <col min="14082" max="14082" width="10" customWidth="1"/>
    <col min="14083" max="14083" width="10.26953125" customWidth="1"/>
    <col min="14084" max="14084" width="10.1796875" customWidth="1"/>
    <col min="14085" max="14085" width="10.54296875" customWidth="1"/>
    <col min="14086" max="14086" width="21.81640625" customWidth="1"/>
    <col min="14087" max="14087" width="11.1796875" customWidth="1"/>
    <col min="14088" max="14088" width="10.453125" customWidth="1"/>
    <col min="14337" max="14337" width="72.453125" customWidth="1"/>
    <col min="14338" max="14338" width="10" customWidth="1"/>
    <col min="14339" max="14339" width="10.26953125" customWidth="1"/>
    <col min="14340" max="14340" width="10.1796875" customWidth="1"/>
    <col min="14341" max="14341" width="10.54296875" customWidth="1"/>
    <col min="14342" max="14342" width="21.81640625" customWidth="1"/>
    <col min="14343" max="14343" width="11.1796875" customWidth="1"/>
    <col min="14344" max="14344" width="10.453125" customWidth="1"/>
    <col min="14593" max="14593" width="72.453125" customWidth="1"/>
    <col min="14594" max="14594" width="10" customWidth="1"/>
    <col min="14595" max="14595" width="10.26953125" customWidth="1"/>
    <col min="14596" max="14596" width="10.1796875" customWidth="1"/>
    <col min="14597" max="14597" width="10.54296875" customWidth="1"/>
    <col min="14598" max="14598" width="21.81640625" customWidth="1"/>
    <col min="14599" max="14599" width="11.1796875" customWidth="1"/>
    <col min="14600" max="14600" width="10.453125" customWidth="1"/>
    <col min="14849" max="14849" width="72.453125" customWidth="1"/>
    <col min="14850" max="14850" width="10" customWidth="1"/>
    <col min="14851" max="14851" width="10.26953125" customWidth="1"/>
    <col min="14852" max="14852" width="10.1796875" customWidth="1"/>
    <col min="14853" max="14853" width="10.54296875" customWidth="1"/>
    <col min="14854" max="14854" width="21.81640625" customWidth="1"/>
    <col min="14855" max="14855" width="11.1796875" customWidth="1"/>
    <col min="14856" max="14856" width="10.453125" customWidth="1"/>
    <col min="15105" max="15105" width="72.453125" customWidth="1"/>
    <col min="15106" max="15106" width="10" customWidth="1"/>
    <col min="15107" max="15107" width="10.26953125" customWidth="1"/>
    <col min="15108" max="15108" width="10.1796875" customWidth="1"/>
    <col min="15109" max="15109" width="10.54296875" customWidth="1"/>
    <col min="15110" max="15110" width="21.81640625" customWidth="1"/>
    <col min="15111" max="15111" width="11.1796875" customWidth="1"/>
    <col min="15112" max="15112" width="10.453125" customWidth="1"/>
    <col min="15361" max="15361" width="72.453125" customWidth="1"/>
    <col min="15362" max="15362" width="10" customWidth="1"/>
    <col min="15363" max="15363" width="10.26953125" customWidth="1"/>
    <col min="15364" max="15364" width="10.1796875" customWidth="1"/>
    <col min="15365" max="15365" width="10.54296875" customWidth="1"/>
    <col min="15366" max="15366" width="21.81640625" customWidth="1"/>
    <col min="15367" max="15367" width="11.1796875" customWidth="1"/>
    <col min="15368" max="15368" width="10.453125" customWidth="1"/>
    <col min="15617" max="15617" width="72.453125" customWidth="1"/>
    <col min="15618" max="15618" width="10" customWidth="1"/>
    <col min="15619" max="15619" width="10.26953125" customWidth="1"/>
    <col min="15620" max="15620" width="10.1796875" customWidth="1"/>
    <col min="15621" max="15621" width="10.54296875" customWidth="1"/>
    <col min="15622" max="15622" width="21.81640625" customWidth="1"/>
    <col min="15623" max="15623" width="11.1796875" customWidth="1"/>
    <col min="15624" max="15624" width="10.453125" customWidth="1"/>
    <col min="15873" max="15873" width="72.453125" customWidth="1"/>
    <col min="15874" max="15874" width="10" customWidth="1"/>
    <col min="15875" max="15875" width="10.26953125" customWidth="1"/>
    <col min="15876" max="15876" width="10.1796875" customWidth="1"/>
    <col min="15877" max="15877" width="10.54296875" customWidth="1"/>
    <col min="15878" max="15878" width="21.81640625" customWidth="1"/>
    <col min="15879" max="15879" width="11.1796875" customWidth="1"/>
    <col min="15880" max="15880" width="10.453125" customWidth="1"/>
    <col min="16129" max="16129" width="72.453125" customWidth="1"/>
    <col min="16130" max="16130" width="10" customWidth="1"/>
    <col min="16131" max="16131" width="10.26953125" customWidth="1"/>
    <col min="16132" max="16132" width="10.1796875" customWidth="1"/>
    <col min="16133" max="16133" width="10.54296875" customWidth="1"/>
    <col min="16134" max="16134" width="21.81640625" customWidth="1"/>
    <col min="16135" max="16135" width="11.1796875" customWidth="1"/>
    <col min="16136" max="16136" width="10.453125" customWidth="1"/>
  </cols>
  <sheetData>
    <row r="1" spans="1:25" ht="24" customHeight="1" x14ac:dyDescent="0.35">
      <c r="A1" s="1" t="s">
        <v>278</v>
      </c>
      <c r="G1" s="3" t="s">
        <v>277</v>
      </c>
      <c r="I1" s="2">
        <v>9502</v>
      </c>
      <c r="U1" s="4" t="s">
        <v>0</v>
      </c>
      <c r="V1" t="s">
        <v>1</v>
      </c>
      <c r="W1" t="s">
        <v>2</v>
      </c>
      <c r="Y1" s="3" t="s">
        <v>3</v>
      </c>
    </row>
    <row r="2" spans="1:25" ht="29" x14ac:dyDescent="0.35">
      <c r="A2" s="3" t="s">
        <v>4</v>
      </c>
      <c r="B2" s="3" t="s">
        <v>5</v>
      </c>
      <c r="C2" s="3" t="s">
        <v>6</v>
      </c>
      <c r="D2" s="5" t="s">
        <v>7</v>
      </c>
      <c r="E2" s="6" t="s">
        <v>8</v>
      </c>
      <c r="F2" s="6"/>
      <c r="U2" s="4" t="s">
        <v>9</v>
      </c>
      <c r="V2">
        <v>250</v>
      </c>
      <c r="W2">
        <v>65</v>
      </c>
      <c r="Y2" t="s">
        <v>10</v>
      </c>
    </row>
    <row r="3" spans="1:25" ht="15.5" x14ac:dyDescent="0.35">
      <c r="A3" s="7" t="s">
        <v>11</v>
      </c>
      <c r="B3" s="2">
        <v>299.66000000000003</v>
      </c>
      <c r="C3" t="s">
        <v>12</v>
      </c>
      <c r="D3">
        <v>40</v>
      </c>
      <c r="E3" s="8">
        <f>B3*(D3/500)</f>
        <v>23.972800000000003</v>
      </c>
      <c r="U3" s="4" t="s">
        <v>154</v>
      </c>
      <c r="V3">
        <v>250</v>
      </c>
      <c r="W3">
        <v>1</v>
      </c>
      <c r="Y3" t="s">
        <v>155</v>
      </c>
    </row>
    <row r="4" spans="1:25" ht="15.5" x14ac:dyDescent="0.35">
      <c r="A4" s="9" t="s">
        <v>13</v>
      </c>
      <c r="B4" s="2">
        <f>E43</f>
        <v>6.3500000000000001E-2</v>
      </c>
      <c r="C4" t="s">
        <v>14</v>
      </c>
      <c r="D4">
        <v>500</v>
      </c>
      <c r="E4" s="8">
        <f>B4*(D4/20000)</f>
        <v>1.5875000000000002E-3</v>
      </c>
      <c r="U4" s="4" t="s">
        <v>20</v>
      </c>
      <c r="V4">
        <v>250</v>
      </c>
      <c r="W4">
        <v>1</v>
      </c>
      <c r="Y4" t="s">
        <v>15</v>
      </c>
    </row>
    <row r="5" spans="1:25" ht="15.5" x14ac:dyDescent="0.35">
      <c r="A5" s="10"/>
      <c r="B5" s="2"/>
      <c r="D5" t="s">
        <v>16</v>
      </c>
      <c r="E5" s="11">
        <f>SUM(E2:E4)</f>
        <v>23.974387500000002</v>
      </c>
      <c r="U5" s="4" t="s">
        <v>156</v>
      </c>
      <c r="V5">
        <v>1000</v>
      </c>
      <c r="W5">
        <v>1</v>
      </c>
      <c r="Y5" t="s">
        <v>17</v>
      </c>
    </row>
    <row r="6" spans="1:25" ht="18" customHeight="1" x14ac:dyDescent="0.35">
      <c r="A6" s="10" t="s">
        <v>18</v>
      </c>
      <c r="D6" s="12"/>
      <c r="E6" s="13"/>
      <c r="F6" s="6" t="s">
        <v>19</v>
      </c>
      <c r="U6" s="4" t="s">
        <v>157</v>
      </c>
      <c r="V6">
        <v>250</v>
      </c>
      <c r="W6">
        <v>1</v>
      </c>
      <c r="Y6" t="s">
        <v>21</v>
      </c>
    </row>
    <row r="7" spans="1:25" ht="15.5" x14ac:dyDescent="0.35">
      <c r="A7" s="14" t="s">
        <v>4</v>
      </c>
      <c r="B7" s="15">
        <f>E5</f>
        <v>23.974387500000002</v>
      </c>
      <c r="C7" t="s">
        <v>12</v>
      </c>
      <c r="D7">
        <v>6.4</v>
      </c>
      <c r="E7" s="8">
        <f>B7*(D7/500)</f>
        <v>0.30687216000000006</v>
      </c>
      <c r="U7" s="4" t="s">
        <v>158</v>
      </c>
      <c r="V7">
        <v>1000</v>
      </c>
      <c r="W7">
        <v>65</v>
      </c>
      <c r="Y7" t="s">
        <v>22</v>
      </c>
    </row>
    <row r="8" spans="1:25" ht="15.5" x14ac:dyDescent="0.35">
      <c r="A8" t="s">
        <v>23</v>
      </c>
      <c r="B8" s="2">
        <v>656.88</v>
      </c>
      <c r="C8" t="s">
        <v>24</v>
      </c>
      <c r="D8">
        <v>14</v>
      </c>
      <c r="E8" s="8">
        <f>B8*(D8/500)</f>
        <v>18.39264</v>
      </c>
      <c r="F8" s="16"/>
      <c r="U8" s="4" t="s">
        <v>159</v>
      </c>
      <c r="V8">
        <v>1000</v>
      </c>
      <c r="W8">
        <v>12</v>
      </c>
      <c r="Y8" t="s">
        <v>25</v>
      </c>
    </row>
    <row r="9" spans="1:25" ht="15.5" x14ac:dyDescent="0.35">
      <c r="A9" s="9"/>
      <c r="B9" s="2"/>
      <c r="D9" t="s">
        <v>16</v>
      </c>
      <c r="E9" s="11">
        <f>SUM(E6:E8)</f>
        <v>18.699512160000001</v>
      </c>
      <c r="F9">
        <f>E9*(600/1000000)</f>
        <v>1.1219707295999999E-2</v>
      </c>
      <c r="U9" s="17" t="s">
        <v>160</v>
      </c>
      <c r="V9">
        <v>1000</v>
      </c>
      <c r="W9">
        <v>65</v>
      </c>
      <c r="Y9" t="s">
        <v>26</v>
      </c>
    </row>
    <row r="10" spans="1:25" ht="15.5" x14ac:dyDescent="0.35">
      <c r="A10" s="10" t="s">
        <v>27</v>
      </c>
      <c r="B10" s="2"/>
      <c r="E10" s="16"/>
      <c r="F10" s="16"/>
      <c r="U10" s="4" t="s">
        <v>161</v>
      </c>
      <c r="V10">
        <v>250</v>
      </c>
      <c r="W10">
        <v>12</v>
      </c>
      <c r="Y10" t="s">
        <v>28</v>
      </c>
    </row>
    <row r="11" spans="1:25" ht="15.5" x14ac:dyDescent="0.35">
      <c r="A11" s="14" t="s">
        <v>4</v>
      </c>
      <c r="B11" s="15">
        <f>E9</f>
        <v>18.699512160000001</v>
      </c>
      <c r="C11" t="s">
        <v>12</v>
      </c>
      <c r="D11">
        <v>6.4</v>
      </c>
      <c r="E11" s="8">
        <f>B11*(D11/500)</f>
        <v>0.23935375564800002</v>
      </c>
      <c r="U11" s="4" t="s">
        <v>162</v>
      </c>
      <c r="V11">
        <v>250</v>
      </c>
      <c r="W11">
        <v>12</v>
      </c>
      <c r="Y11" t="s">
        <v>29</v>
      </c>
    </row>
    <row r="12" spans="1:25" ht="11.25" customHeight="1" x14ac:dyDescent="0.35">
      <c r="A12" t="s">
        <v>23</v>
      </c>
      <c r="B12" s="2">
        <v>656.88</v>
      </c>
      <c r="C12" t="s">
        <v>24</v>
      </c>
      <c r="D12">
        <v>3</v>
      </c>
      <c r="E12" s="8">
        <f>B12*(D12/500)</f>
        <v>3.9412799999999999</v>
      </c>
      <c r="F12" s="16"/>
      <c r="U12" s="4" t="s">
        <v>163</v>
      </c>
      <c r="V12">
        <v>250</v>
      </c>
      <c r="W12">
        <v>12</v>
      </c>
      <c r="Y12" t="s">
        <v>30</v>
      </c>
    </row>
    <row r="13" spans="1:25" ht="13" customHeight="1" x14ac:dyDescent="0.4">
      <c r="B13" s="2"/>
      <c r="D13" t="s">
        <v>16</v>
      </c>
      <c r="E13" s="11">
        <f>SUM(E10:E12)</f>
        <v>4.1806337556479995</v>
      </c>
      <c r="F13">
        <f>E13*(600/1000000)</f>
        <v>2.5083802533887997E-3</v>
      </c>
      <c r="U13" s="18" t="s">
        <v>164</v>
      </c>
      <c r="V13">
        <v>250</v>
      </c>
      <c r="W13">
        <v>12</v>
      </c>
      <c r="Y13" t="s">
        <v>31</v>
      </c>
    </row>
    <row r="14" spans="1:25" x14ac:dyDescent="0.35">
      <c r="B14" s="2"/>
      <c r="E14" s="11"/>
      <c r="U14" s="19"/>
      <c r="Y14" t="s">
        <v>32</v>
      </c>
    </row>
    <row r="15" spans="1:25" ht="15.5" x14ac:dyDescent="0.35">
      <c r="A15" s="20" t="s">
        <v>33</v>
      </c>
      <c r="B15" s="2"/>
      <c r="E15" s="13" t="s">
        <v>34</v>
      </c>
      <c r="F15" s="13" t="s">
        <v>35</v>
      </c>
      <c r="G15" s="12"/>
      <c r="U15" s="21" t="s">
        <v>36</v>
      </c>
      <c r="Y15" t="s">
        <v>37</v>
      </c>
    </row>
    <row r="16" spans="1:25" ht="15.5" x14ac:dyDescent="0.35">
      <c r="A16" s="22" t="s">
        <v>38</v>
      </c>
      <c r="B16" s="2">
        <v>240</v>
      </c>
      <c r="C16" t="s">
        <v>39</v>
      </c>
      <c r="D16">
        <f>25000/25</f>
        <v>1000</v>
      </c>
      <c r="E16" s="8">
        <f>(B16/D16)</f>
        <v>0.24</v>
      </c>
      <c r="G16" s="16"/>
      <c r="U16" s="21" t="s">
        <v>40</v>
      </c>
      <c r="Y16" t="s">
        <v>41</v>
      </c>
    </row>
    <row r="17" spans="1:25" ht="15.5" x14ac:dyDescent="0.35">
      <c r="A17" s="22" t="s">
        <v>42</v>
      </c>
      <c r="B17" s="2">
        <v>15</v>
      </c>
      <c r="C17" t="s">
        <v>43</v>
      </c>
      <c r="D17">
        <v>10</v>
      </c>
      <c r="E17" s="8">
        <f>B17*(D17/2500)</f>
        <v>0.06</v>
      </c>
      <c r="G17" s="16"/>
      <c r="U17" s="21" t="s">
        <v>44</v>
      </c>
      <c r="Y17" t="s">
        <v>45</v>
      </c>
    </row>
    <row r="18" spans="1:25" x14ac:dyDescent="0.35">
      <c r="A18" s="22" t="s">
        <v>46</v>
      </c>
      <c r="B18" s="2">
        <v>15</v>
      </c>
      <c r="C18" t="s">
        <v>43</v>
      </c>
      <c r="D18">
        <v>10</v>
      </c>
      <c r="E18" s="8">
        <f>B18*(D18/2500)</f>
        <v>0.06</v>
      </c>
      <c r="G18" s="16"/>
      <c r="Y18" t="s">
        <v>165</v>
      </c>
    </row>
    <row r="19" spans="1:25" x14ac:dyDescent="0.35">
      <c r="A19" s="22"/>
      <c r="B19" s="2"/>
      <c r="D19" t="s">
        <v>16</v>
      </c>
      <c r="E19" s="16">
        <f>SUM(E16:E18)</f>
        <v>0.36</v>
      </c>
      <c r="F19">
        <f>E19*(100/200000)</f>
        <v>1.7999999999999998E-4</v>
      </c>
      <c r="G19" s="16"/>
      <c r="U19" s="3" t="s">
        <v>3</v>
      </c>
    </row>
    <row r="20" spans="1:25" x14ac:dyDescent="0.35">
      <c r="A20" s="10" t="s">
        <v>47</v>
      </c>
      <c r="B20" s="2"/>
      <c r="E20" s="8"/>
      <c r="G20" s="16"/>
      <c r="T20">
        <v>715</v>
      </c>
      <c r="U20" t="s">
        <v>48</v>
      </c>
    </row>
    <row r="21" spans="1:25" x14ac:dyDescent="0.35">
      <c r="A21" s="22" t="s">
        <v>49</v>
      </c>
      <c r="B21" s="2">
        <v>15</v>
      </c>
      <c r="C21" t="s">
        <v>43</v>
      </c>
      <c r="D21">
        <v>20</v>
      </c>
      <c r="E21" s="8">
        <f>B21*(D21/2500)</f>
        <v>0.12</v>
      </c>
      <c r="F21">
        <f>E21*(200/20000)</f>
        <v>1.1999999999999999E-3</v>
      </c>
      <c r="G21" s="16"/>
      <c r="T21">
        <v>10.6</v>
      </c>
      <c r="U21" t="s">
        <v>50</v>
      </c>
    </row>
    <row r="22" spans="1:25" x14ac:dyDescent="0.35">
      <c r="A22" s="22" t="s">
        <v>51</v>
      </c>
      <c r="B22" s="2">
        <v>10.199999999999999</v>
      </c>
      <c r="C22" t="s">
        <v>43</v>
      </c>
      <c r="D22">
        <v>20</v>
      </c>
      <c r="E22" s="8">
        <f>B22*(D22/2500)</f>
        <v>8.1599999999999992E-2</v>
      </c>
      <c r="F22">
        <f>E22*(200/20000)</f>
        <v>8.1599999999999989E-4</v>
      </c>
      <c r="G22" s="16"/>
      <c r="U22" t="s">
        <v>15</v>
      </c>
    </row>
    <row r="23" spans="1:25" x14ac:dyDescent="0.35">
      <c r="A23" s="22"/>
      <c r="B23" s="2"/>
      <c r="D23" t="s">
        <v>16</v>
      </c>
      <c r="E23" s="16">
        <f>SUM(E21:E22)</f>
        <v>0.2016</v>
      </c>
      <c r="F23" s="11">
        <f>SUM(F21:F22)</f>
        <v>2.0159999999999996E-3</v>
      </c>
      <c r="G23" s="16"/>
      <c r="U23" t="s">
        <v>17</v>
      </c>
    </row>
    <row r="24" spans="1:25" x14ac:dyDescent="0.35">
      <c r="A24" s="23" t="s">
        <v>52</v>
      </c>
      <c r="B24" s="2"/>
      <c r="E24" s="8"/>
      <c r="G24" s="16"/>
      <c r="U24" t="s">
        <v>21</v>
      </c>
    </row>
    <row r="25" spans="1:25" x14ac:dyDescent="0.35">
      <c r="A25" s="22" t="s">
        <v>53</v>
      </c>
      <c r="B25" s="2">
        <v>10.199999999999999</v>
      </c>
      <c r="C25" t="s">
        <v>43</v>
      </c>
      <c r="D25">
        <v>95</v>
      </c>
      <c r="E25" s="8">
        <f>B25*(D25/2500)</f>
        <v>0.38759999999999994</v>
      </c>
      <c r="G25" s="16"/>
      <c r="U25" t="s">
        <v>22</v>
      </c>
    </row>
    <row r="26" spans="1:25" x14ac:dyDescent="0.35">
      <c r="A26" s="22" t="s">
        <v>54</v>
      </c>
      <c r="B26" s="2">
        <v>26</v>
      </c>
      <c r="C26" t="s">
        <v>55</v>
      </c>
      <c r="D26">
        <v>5</v>
      </c>
      <c r="E26" s="8">
        <f>B26*(D26/2500)</f>
        <v>5.2000000000000005E-2</v>
      </c>
      <c r="G26" s="16"/>
      <c r="U26" t="s">
        <v>25</v>
      </c>
    </row>
    <row r="27" spans="1:25" x14ac:dyDescent="0.35">
      <c r="A27" s="22"/>
      <c r="B27" s="2"/>
      <c r="D27" t="s">
        <v>16</v>
      </c>
      <c r="E27" s="16">
        <f>SUM(E25:E26)</f>
        <v>0.43959999999999994</v>
      </c>
      <c r="F27">
        <f>E27*(400/100000)</f>
        <v>1.7583999999999998E-3</v>
      </c>
      <c r="I27" s="24" t="s">
        <v>56</v>
      </c>
      <c r="K27" t="s">
        <v>57</v>
      </c>
      <c r="L27" t="s">
        <v>58</v>
      </c>
      <c r="U27" t="s">
        <v>26</v>
      </c>
    </row>
    <row r="28" spans="1:25" x14ac:dyDescent="0.35">
      <c r="A28" s="23" t="s">
        <v>59</v>
      </c>
      <c r="B28" s="2"/>
      <c r="E28" s="16"/>
      <c r="F28" s="16"/>
      <c r="G28" s="25"/>
      <c r="I28" s="2" t="s">
        <v>60</v>
      </c>
      <c r="U28" t="s">
        <v>28</v>
      </c>
    </row>
    <row r="29" spans="1:25" x14ac:dyDescent="0.35">
      <c r="A29" s="22" t="s">
        <v>53</v>
      </c>
      <c r="B29" s="2">
        <v>10.199999999999999</v>
      </c>
      <c r="C29" t="s">
        <v>43</v>
      </c>
      <c r="D29">
        <v>95</v>
      </c>
      <c r="E29" s="8">
        <f>B29*(D29/2500)</f>
        <v>0.38759999999999994</v>
      </c>
      <c r="G29" s="25"/>
      <c r="I29" s="2" t="s">
        <v>61</v>
      </c>
      <c r="K29">
        <f>(0.6*30)*0.5</f>
        <v>9</v>
      </c>
      <c r="L29" s="2">
        <f>(K29/1000)*E52</f>
        <v>3.7187999999999992E-2</v>
      </c>
      <c r="U29" t="s">
        <v>29</v>
      </c>
    </row>
    <row r="30" spans="1:25" x14ac:dyDescent="0.35">
      <c r="A30" s="22" t="s">
        <v>62</v>
      </c>
      <c r="B30" s="2">
        <v>15</v>
      </c>
      <c r="C30" t="s">
        <v>43</v>
      </c>
      <c r="D30">
        <v>5</v>
      </c>
      <c r="E30" s="8">
        <f>B30*(D30/2500)</f>
        <v>0.03</v>
      </c>
      <c r="G30" s="25"/>
      <c r="J30" t="s">
        <v>63</v>
      </c>
      <c r="K30">
        <f>(0.6*30)*0.5</f>
        <v>9</v>
      </c>
      <c r="L30" s="2">
        <f>(K30/1000)*E56</f>
        <v>5.4467999999999996E-2</v>
      </c>
      <c r="U30" t="s">
        <v>30</v>
      </c>
    </row>
    <row r="31" spans="1:25" x14ac:dyDescent="0.35">
      <c r="A31" s="22"/>
      <c r="B31" s="2"/>
      <c r="D31" t="s">
        <v>16</v>
      </c>
      <c r="E31" s="16">
        <f>SUM(E29:E30)</f>
        <v>0.41759999999999997</v>
      </c>
      <c r="F31">
        <f>E31*(200/100000)</f>
        <v>8.3519999999999992E-4</v>
      </c>
      <c r="G31" s="25"/>
      <c r="T31">
        <v>299.66000000000003</v>
      </c>
      <c r="U31" t="s">
        <v>64</v>
      </c>
    </row>
    <row r="32" spans="1:25" x14ac:dyDescent="0.35">
      <c r="A32" s="10" t="s">
        <v>65</v>
      </c>
      <c r="B32" s="2"/>
      <c r="E32" s="16"/>
      <c r="G32" s="25"/>
      <c r="I32" s="24" t="s">
        <v>66</v>
      </c>
      <c r="N32" t="s">
        <v>67</v>
      </c>
      <c r="O32" t="s">
        <v>68</v>
      </c>
      <c r="Q32" t="s">
        <v>69</v>
      </c>
      <c r="R32" t="s">
        <v>70</v>
      </c>
      <c r="U32" t="s">
        <v>32</v>
      </c>
      <c r="Y32" s="26"/>
    </row>
    <row r="33" spans="1:25" x14ac:dyDescent="0.35">
      <c r="A33" s="22" t="s">
        <v>53</v>
      </c>
      <c r="B33" s="2">
        <v>10.199999999999999</v>
      </c>
      <c r="C33" t="s">
        <v>43</v>
      </c>
      <c r="D33">
        <v>96</v>
      </c>
      <c r="E33" s="15">
        <f>B33*(D33/2500)</f>
        <v>0.39167999999999992</v>
      </c>
      <c r="G33" s="25"/>
      <c r="I33" s="2" t="s">
        <v>166</v>
      </c>
      <c r="N33">
        <f>(0.85*0.25)*4.3</f>
        <v>0.91374999999999995</v>
      </c>
      <c r="O33">
        <f>(0.15*0.25)*4.3</f>
        <v>0.16124999999999998</v>
      </c>
      <c r="Q33">
        <f>(N33/1000)*E52</f>
        <v>3.7756149999999995E-3</v>
      </c>
      <c r="R33">
        <f>(O33/1000)*E56</f>
        <v>9.758849999999999E-4</v>
      </c>
      <c r="U33" t="s">
        <v>37</v>
      </c>
      <c r="Y33" s="27"/>
    </row>
    <row r="34" spans="1:25" x14ac:dyDescent="0.35">
      <c r="A34" s="22" t="s">
        <v>71</v>
      </c>
      <c r="B34" s="2">
        <v>227</v>
      </c>
      <c r="C34" t="s">
        <v>24</v>
      </c>
      <c r="D34">
        <v>3.7</v>
      </c>
      <c r="E34" s="15">
        <f>B34*(D34/500)</f>
        <v>1.6798000000000002</v>
      </c>
      <c r="G34" s="25"/>
      <c r="I34" s="2" t="s">
        <v>167</v>
      </c>
      <c r="N34">
        <f>(0.75*0.25)*0.7</f>
        <v>0.13124999999999998</v>
      </c>
      <c r="O34">
        <f>(0.25*0.25)*0.01</f>
        <v>6.2500000000000001E-4</v>
      </c>
      <c r="Q34">
        <f>(N34/1000)*E52</f>
        <v>5.4232499999999986E-4</v>
      </c>
      <c r="R34">
        <f>(O34/1000)*E56</f>
        <v>3.7825000000000002E-6</v>
      </c>
      <c r="T34">
        <v>352</v>
      </c>
      <c r="U34" t="s">
        <v>72</v>
      </c>
      <c r="Y34" s="27"/>
    </row>
    <row r="35" spans="1:25" x14ac:dyDescent="0.35">
      <c r="A35" s="22"/>
      <c r="B35" s="2"/>
      <c r="D35" t="s">
        <v>16</v>
      </c>
      <c r="E35" s="16">
        <f>SUM(E23:E34)</f>
        <v>3.9874800000000001</v>
      </c>
      <c r="F35">
        <f>E35*(300/100000)</f>
        <v>1.1962440000000001E-2</v>
      </c>
      <c r="G35" s="25"/>
      <c r="I35" s="2" t="s">
        <v>168</v>
      </c>
      <c r="N35">
        <f>(0.65*0.25)*0.3</f>
        <v>4.8750000000000002E-2</v>
      </c>
      <c r="O35">
        <f>(0.35*0.25)*0.3</f>
        <v>2.6249999999999999E-2</v>
      </c>
      <c r="Q35">
        <f>(N35/1000)*E52</f>
        <v>2.0143499999999997E-4</v>
      </c>
      <c r="R35">
        <f>(O35/1000)*E56</f>
        <v>1.5886499999999998E-4</v>
      </c>
      <c r="T35">
        <v>656.88</v>
      </c>
      <c r="U35" t="s">
        <v>73</v>
      </c>
      <c r="Y35" s="27"/>
    </row>
    <row r="36" spans="1:25" x14ac:dyDescent="0.35">
      <c r="A36" s="10" t="s">
        <v>74</v>
      </c>
      <c r="B36" s="2"/>
      <c r="E36" s="16"/>
      <c r="G36" s="25"/>
      <c r="I36" s="2" t="s">
        <v>169</v>
      </c>
      <c r="N36">
        <f>(0.55*0.25)*0.2</f>
        <v>2.7500000000000004E-2</v>
      </c>
      <c r="O36" s="2">
        <f>(0.45*0.25)*0.2</f>
        <v>2.2500000000000003E-2</v>
      </c>
      <c r="Q36">
        <f>(N36/1000)*E52</f>
        <v>1.1363000000000001E-4</v>
      </c>
      <c r="R36">
        <f>(O36/1000)*E56</f>
        <v>1.3616999999999999E-4</v>
      </c>
      <c r="T36">
        <v>177.07</v>
      </c>
      <c r="U36" t="s">
        <v>75</v>
      </c>
      <c r="Y36" s="27"/>
    </row>
    <row r="37" spans="1:25" x14ac:dyDescent="0.35">
      <c r="A37" s="22" t="s">
        <v>76</v>
      </c>
      <c r="B37" s="2">
        <v>15</v>
      </c>
      <c r="C37" t="s">
        <v>43</v>
      </c>
      <c r="D37">
        <v>16</v>
      </c>
      <c r="E37" s="15">
        <f>B37*(D37/2500)</f>
        <v>9.6000000000000002E-2</v>
      </c>
      <c r="G37" s="25"/>
      <c r="I37" s="2" t="s">
        <v>170</v>
      </c>
      <c r="N37">
        <f>(0.35*0.25)*0.2</f>
        <v>1.7499999999999998E-2</v>
      </c>
      <c r="O37" s="2">
        <f>(0.65*0.25)*0.2</f>
        <v>3.2500000000000001E-2</v>
      </c>
      <c r="Q37" s="57">
        <f>(N37/1000)*E52</f>
        <v>7.230999999999999E-5</v>
      </c>
      <c r="R37" s="57">
        <f>(O37/1000)*E56</f>
        <v>1.9669000000000002E-4</v>
      </c>
      <c r="Y37" s="26"/>
    </row>
    <row r="38" spans="1:25" x14ac:dyDescent="0.35">
      <c r="A38" s="22" t="s">
        <v>77</v>
      </c>
      <c r="B38" s="2">
        <v>27.6</v>
      </c>
      <c r="C38" t="s">
        <v>78</v>
      </c>
      <c r="D38">
        <v>4.7</v>
      </c>
      <c r="E38" s="15">
        <f>B38*(D38/2500)</f>
        <v>5.1888000000000011E-2</v>
      </c>
      <c r="G38" s="25"/>
      <c r="I38" s="2" t="s">
        <v>171</v>
      </c>
      <c r="N38">
        <f>(0.15*0.25)*2.3</f>
        <v>8.6249999999999993E-2</v>
      </c>
      <c r="O38" s="2">
        <f>(0.85*0.25)*2.3</f>
        <v>0.48874999999999996</v>
      </c>
      <c r="Q38">
        <f>(N38/1000)*E52</f>
        <v>3.5638499999999997E-4</v>
      </c>
      <c r="R38">
        <f>(O38/1000)*E56</f>
        <v>2.9579149999999993E-3</v>
      </c>
      <c r="Y38" s="27"/>
    </row>
    <row r="39" spans="1:25" x14ac:dyDescent="0.35">
      <c r="A39" s="22"/>
      <c r="B39" s="2"/>
      <c r="D39" t="s">
        <v>16</v>
      </c>
      <c r="E39" s="16">
        <f>SUM(E36:E38)</f>
        <v>0.14788800000000002</v>
      </c>
      <c r="F39">
        <f>E39*(50/20000)</f>
        <v>3.6972000000000003E-4</v>
      </c>
      <c r="G39" s="25"/>
      <c r="I39" s="2" t="s">
        <v>172</v>
      </c>
      <c r="N39">
        <f>(0.85*0.25)*0.5</f>
        <v>0.10625</v>
      </c>
      <c r="O39" s="2">
        <f>(0.15*0.25)*0.5</f>
        <v>1.8749999999999999E-2</v>
      </c>
      <c r="Q39">
        <f>(N39/1000)*E52</f>
        <v>4.3902499999999995E-4</v>
      </c>
      <c r="R39">
        <f>(O39/1000)*E56</f>
        <v>1.1347499999999998E-4</v>
      </c>
      <c r="Y39" s="27"/>
    </row>
    <row r="40" spans="1:25" x14ac:dyDescent="0.35">
      <c r="A40" s="10" t="s">
        <v>80</v>
      </c>
      <c r="B40" s="2"/>
      <c r="E40" s="16"/>
      <c r="G40" s="25"/>
      <c r="O40" s="2"/>
      <c r="Y40" s="27"/>
    </row>
    <row r="41" spans="1:25" x14ac:dyDescent="0.35">
      <c r="A41" s="22" t="s">
        <v>81</v>
      </c>
      <c r="B41" s="2">
        <v>15</v>
      </c>
      <c r="C41" t="s">
        <v>43</v>
      </c>
      <c r="D41">
        <v>12</v>
      </c>
      <c r="E41" s="8">
        <f>B41*(D41/2500)</f>
        <v>7.1999999999999995E-2</v>
      </c>
      <c r="G41" s="25"/>
      <c r="O41" s="3" t="s">
        <v>79</v>
      </c>
      <c r="P41" s="30">
        <f>Q33+Q34+Q35+Q36+Q37+Q38+Q39+R33+R34+R35+R36+R37+R38+R39+L29+L30</f>
        <v>0.10169950749999998</v>
      </c>
      <c r="Y41" s="26"/>
    </row>
    <row r="42" spans="1:25" x14ac:dyDescent="0.35">
      <c r="A42" s="22" t="s">
        <v>82</v>
      </c>
      <c r="B42" s="2">
        <v>10.199999999999999</v>
      </c>
      <c r="C42" t="s">
        <v>43</v>
      </c>
      <c r="D42">
        <v>6</v>
      </c>
      <c r="E42" s="8">
        <f>B42*(D42/2500)</f>
        <v>2.4479999999999995E-2</v>
      </c>
      <c r="G42" s="25"/>
      <c r="Y42" s="27"/>
    </row>
    <row r="43" spans="1:25" x14ac:dyDescent="0.35">
      <c r="A43" s="22" t="s">
        <v>26</v>
      </c>
      <c r="B43" s="2">
        <v>63.5</v>
      </c>
      <c r="C43" t="s">
        <v>78</v>
      </c>
      <c r="D43">
        <v>2</v>
      </c>
      <c r="E43" s="8">
        <f>B43*(1/1000)</f>
        <v>6.3500000000000001E-2</v>
      </c>
      <c r="G43" s="25"/>
      <c r="Y43" s="27"/>
    </row>
    <row r="44" spans="1:25" x14ac:dyDescent="0.35">
      <c r="A44" s="22"/>
      <c r="B44" s="2"/>
      <c r="D44" t="s">
        <v>16</v>
      </c>
      <c r="E44" s="16">
        <f>SUM(E41:E43)</f>
        <v>0.15997999999999998</v>
      </c>
      <c r="F44">
        <f>E44*(50/20000)</f>
        <v>3.9994999999999999E-4</v>
      </c>
      <c r="G44" s="25"/>
    </row>
    <row r="45" spans="1:25" x14ac:dyDescent="0.35">
      <c r="A45" s="10" t="s">
        <v>83</v>
      </c>
      <c r="D45" s="12"/>
      <c r="E45" s="13"/>
      <c r="G45" s="2"/>
    </row>
    <row r="46" spans="1:25" x14ac:dyDescent="0.35">
      <c r="A46" t="s">
        <v>48</v>
      </c>
      <c r="B46" s="13">
        <v>643.5</v>
      </c>
      <c r="C46">
        <v>1</v>
      </c>
      <c r="D46">
        <v>1500</v>
      </c>
      <c r="E46" s="2">
        <f>(B46/D46)</f>
        <v>0.42899999999999999</v>
      </c>
      <c r="F46">
        <f>E46*50</f>
        <v>21.45</v>
      </c>
      <c r="G46" s="2"/>
    </row>
    <row r="47" spans="1:25" x14ac:dyDescent="0.35">
      <c r="A47" s="22" t="s">
        <v>88</v>
      </c>
      <c r="B47" s="2">
        <v>352</v>
      </c>
      <c r="C47">
        <v>1</v>
      </c>
      <c r="D47">
        <v>96</v>
      </c>
      <c r="E47" s="2">
        <f>(B47/D47)</f>
        <v>3.6666666666666665</v>
      </c>
      <c r="F47">
        <f>E47*50</f>
        <v>183.33333333333331</v>
      </c>
      <c r="G47" s="2"/>
      <c r="Y47" s="3"/>
    </row>
    <row r="48" spans="1:25" x14ac:dyDescent="0.35">
      <c r="A48" s="7"/>
      <c r="B48" s="2"/>
      <c r="D48" t="s">
        <v>16</v>
      </c>
      <c r="E48" s="16">
        <f>SUM(E46:E47)</f>
        <v>4.0956666666666663</v>
      </c>
      <c r="F48" s="16">
        <f>SUM(F46:F47)</f>
        <v>204.7833333333333</v>
      </c>
      <c r="G48" s="2"/>
      <c r="I48" s="28" t="s">
        <v>84</v>
      </c>
      <c r="J48" s="29"/>
      <c r="K48" s="29"/>
      <c r="L48" s="29" t="s">
        <v>85</v>
      </c>
      <c r="M48" s="28" t="s">
        <v>58</v>
      </c>
    </row>
    <row r="49" spans="1:25" x14ac:dyDescent="0.35">
      <c r="A49" s="20" t="s">
        <v>91</v>
      </c>
      <c r="B49" s="2"/>
      <c r="G49" s="2"/>
      <c r="I49" s="2" t="s">
        <v>86</v>
      </c>
      <c r="L49" t="s">
        <v>87</v>
      </c>
      <c r="M49" s="15">
        <f>(0.04/1000)*E60</f>
        <v>2.0160000000000002E-4</v>
      </c>
    </row>
    <row r="50" spans="1:25" x14ac:dyDescent="0.35">
      <c r="A50" t="s">
        <v>94</v>
      </c>
      <c r="B50" s="2">
        <v>10.199999999999999</v>
      </c>
      <c r="C50" t="s">
        <v>43</v>
      </c>
      <c r="D50">
        <v>1</v>
      </c>
      <c r="E50" s="2">
        <f>B50*(D50/2.5)</f>
        <v>4.08</v>
      </c>
      <c r="G50" s="2"/>
      <c r="I50" s="2" t="s">
        <v>89</v>
      </c>
      <c r="L50" t="s">
        <v>87</v>
      </c>
      <c r="M50" s="15">
        <f>(0.04/500)*E64</f>
        <v>1.7087999999999999E-4</v>
      </c>
    </row>
    <row r="51" spans="1:25" x14ac:dyDescent="0.35">
      <c r="A51" t="s">
        <v>95</v>
      </c>
      <c r="B51" s="2">
        <v>26</v>
      </c>
      <c r="C51" t="s">
        <v>55</v>
      </c>
      <c r="D51">
        <v>1</v>
      </c>
      <c r="E51" s="2">
        <f>B51*(D51/500)</f>
        <v>5.2000000000000005E-2</v>
      </c>
      <c r="G51" s="2"/>
      <c r="I51" s="2" t="s">
        <v>90</v>
      </c>
      <c r="L51" t="s">
        <v>87</v>
      </c>
      <c r="M51" s="15">
        <f>(0.04/1000)*E68</f>
        <v>1.9392000000000001E-4</v>
      </c>
    </row>
    <row r="52" spans="1:25" x14ac:dyDescent="0.35">
      <c r="B52" s="2"/>
      <c r="D52" s="31" t="s">
        <v>16</v>
      </c>
      <c r="E52" s="32">
        <f>SUM(E50:E51)</f>
        <v>4.1319999999999997</v>
      </c>
      <c r="G52" s="2"/>
      <c r="I52" s="2" t="s">
        <v>92</v>
      </c>
      <c r="L52" t="s">
        <v>93</v>
      </c>
      <c r="M52" s="15">
        <f>(0.05/500)*E83</f>
        <v>2.1359999999999999E-4</v>
      </c>
      <c r="Y52" s="3"/>
    </row>
    <row r="53" spans="1:25" x14ac:dyDescent="0.35">
      <c r="A53" s="20" t="s">
        <v>96</v>
      </c>
      <c r="B53" s="2"/>
      <c r="G53" s="2"/>
      <c r="L53" s="3" t="s">
        <v>16</v>
      </c>
      <c r="M53" s="30">
        <f>M49+M50+M51+M52</f>
        <v>7.7999999999999999E-4</v>
      </c>
    </row>
    <row r="54" spans="1:25" x14ac:dyDescent="0.35">
      <c r="A54" t="s">
        <v>97</v>
      </c>
      <c r="B54" s="2">
        <v>15</v>
      </c>
      <c r="C54" t="s">
        <v>98</v>
      </c>
      <c r="D54">
        <v>1</v>
      </c>
      <c r="E54" s="2">
        <f>B54*(D54/2.5)</f>
        <v>6</v>
      </c>
      <c r="G54" s="2"/>
    </row>
    <row r="55" spans="1:25" x14ac:dyDescent="0.35">
      <c r="A55" t="s">
        <v>95</v>
      </c>
      <c r="B55" s="2">
        <v>26</v>
      </c>
      <c r="C55" t="s">
        <v>55</v>
      </c>
      <c r="D55">
        <v>1</v>
      </c>
      <c r="E55" s="2">
        <f>B55*(D55/500)</f>
        <v>5.2000000000000005E-2</v>
      </c>
    </row>
    <row r="56" spans="1:25" x14ac:dyDescent="0.35">
      <c r="D56" s="31" t="s">
        <v>16</v>
      </c>
      <c r="E56" s="32">
        <f>SUM(E54:E55)</f>
        <v>6.0519999999999996</v>
      </c>
    </row>
    <row r="57" spans="1:25" x14ac:dyDescent="0.35">
      <c r="A57" s="20" t="s">
        <v>100</v>
      </c>
      <c r="Y57" s="3"/>
    </row>
    <row r="58" spans="1:25" x14ac:dyDescent="0.35">
      <c r="A58" t="s">
        <v>102</v>
      </c>
      <c r="B58" s="2">
        <v>15</v>
      </c>
      <c r="C58" t="s">
        <v>43</v>
      </c>
      <c r="D58">
        <v>0.5</v>
      </c>
      <c r="E58" s="2">
        <f>B58*(D58/2.5)</f>
        <v>3</v>
      </c>
    </row>
    <row r="59" spans="1:25" x14ac:dyDescent="0.35">
      <c r="A59" t="s">
        <v>104</v>
      </c>
      <c r="B59" s="2">
        <v>10.199999999999999</v>
      </c>
      <c r="C59" t="s">
        <v>43</v>
      </c>
      <c r="D59">
        <v>0.5</v>
      </c>
      <c r="E59" s="2">
        <f>B59*(D59/2.5)</f>
        <v>2.04</v>
      </c>
      <c r="I59" s="24" t="s">
        <v>176</v>
      </c>
      <c r="J59" s="3" t="s">
        <v>99</v>
      </c>
    </row>
    <row r="60" spans="1:25" x14ac:dyDescent="0.35">
      <c r="B60" s="2"/>
      <c r="D60" s="31" t="s">
        <v>16</v>
      </c>
      <c r="E60" s="32">
        <f>SUM(E58:E59)</f>
        <v>5.04</v>
      </c>
      <c r="I60" s="33" t="s">
        <v>101</v>
      </c>
      <c r="J60" s="14">
        <v>9502</v>
      </c>
    </row>
    <row r="61" spans="1:25" x14ac:dyDescent="0.35">
      <c r="A61" s="3" t="s">
        <v>105</v>
      </c>
      <c r="B61" s="2"/>
      <c r="I61" t="s">
        <v>112</v>
      </c>
      <c r="J61" s="2">
        <v>6054</v>
      </c>
    </row>
    <row r="62" spans="1:25" x14ac:dyDescent="0.35">
      <c r="A62" t="s">
        <v>106</v>
      </c>
      <c r="B62" s="2">
        <v>15</v>
      </c>
      <c r="C62" t="s">
        <v>107</v>
      </c>
      <c r="D62">
        <v>50</v>
      </c>
      <c r="E62" s="2">
        <f>B62*(D62/2500)</f>
        <v>0.3</v>
      </c>
      <c r="S62" s="34"/>
    </row>
    <row r="63" spans="1:25" x14ac:dyDescent="0.35">
      <c r="A63" t="s">
        <v>108</v>
      </c>
      <c r="B63" s="2">
        <v>10.199999999999999</v>
      </c>
      <c r="C63" t="s">
        <v>107</v>
      </c>
      <c r="D63">
        <v>450</v>
      </c>
      <c r="E63" s="2">
        <f>B63*(D63/2500)</f>
        <v>1.8359999999999999</v>
      </c>
      <c r="I63" s="2" t="s">
        <v>16</v>
      </c>
      <c r="J63">
        <f>SUM(J60:J62)</f>
        <v>15556</v>
      </c>
    </row>
    <row r="64" spans="1:25" x14ac:dyDescent="0.35">
      <c r="B64" s="2"/>
      <c r="D64" s="31" t="s">
        <v>16</v>
      </c>
      <c r="E64" s="32">
        <f>SUM(E62:E63)</f>
        <v>2.1359999999999997</v>
      </c>
    </row>
    <row r="65" spans="1:18" x14ac:dyDescent="0.35">
      <c r="A65" s="3" t="s">
        <v>111</v>
      </c>
      <c r="B65" s="2"/>
    </row>
    <row r="66" spans="1:18" x14ac:dyDescent="0.35">
      <c r="A66" t="s">
        <v>113</v>
      </c>
      <c r="B66" s="2">
        <v>15</v>
      </c>
      <c r="C66" t="s">
        <v>107</v>
      </c>
      <c r="D66">
        <v>400</v>
      </c>
      <c r="E66" s="2">
        <f>B66*(D66/2500)</f>
        <v>2.4</v>
      </c>
      <c r="K66" s="3" t="s">
        <v>109</v>
      </c>
      <c r="L66" s="2" t="s">
        <v>110</v>
      </c>
    </row>
    <row r="67" spans="1:18" x14ac:dyDescent="0.35">
      <c r="A67" t="s">
        <v>115</v>
      </c>
      <c r="B67" s="2">
        <v>10.199999999999999</v>
      </c>
      <c r="C67" t="s">
        <v>107</v>
      </c>
      <c r="D67">
        <v>600</v>
      </c>
      <c r="E67" s="2">
        <f>B67*(D67/2500)</f>
        <v>2.448</v>
      </c>
      <c r="K67" s="33" t="s">
        <v>101</v>
      </c>
      <c r="L67" s="14">
        <v>9502</v>
      </c>
    </row>
    <row r="68" spans="1:18" x14ac:dyDescent="0.35">
      <c r="D68" s="35" t="s">
        <v>16</v>
      </c>
      <c r="E68" s="32">
        <f>SUM(E66:E67)</f>
        <v>4.8479999999999999</v>
      </c>
      <c r="K68" t="s">
        <v>112</v>
      </c>
      <c r="L68" s="2">
        <v>6054</v>
      </c>
    </row>
    <row r="69" spans="1:18" x14ac:dyDescent="0.35">
      <c r="K69" t="s">
        <v>114</v>
      </c>
      <c r="L69" s="2">
        <v>586</v>
      </c>
    </row>
    <row r="70" spans="1:18" x14ac:dyDescent="0.35">
      <c r="A70" s="20" t="s">
        <v>83</v>
      </c>
      <c r="K70" t="s">
        <v>116</v>
      </c>
      <c r="L70" s="2">
        <v>700</v>
      </c>
    </row>
    <row r="71" spans="1:18" x14ac:dyDescent="0.35">
      <c r="A71" t="s">
        <v>173</v>
      </c>
      <c r="B71" s="2">
        <v>15.9</v>
      </c>
      <c r="C71">
        <v>100</v>
      </c>
      <c r="D71" s="2">
        <v>50</v>
      </c>
      <c r="E71" s="2">
        <f>B71*(D71/C71)</f>
        <v>7.95</v>
      </c>
      <c r="K71" t="s">
        <v>117</v>
      </c>
      <c r="L71" s="2">
        <v>2781</v>
      </c>
    </row>
    <row r="72" spans="1:18" x14ac:dyDescent="0.35">
      <c r="A72" t="s">
        <v>118</v>
      </c>
      <c r="B72" s="2">
        <v>47.95</v>
      </c>
      <c r="C72">
        <v>960</v>
      </c>
      <c r="D72" s="2">
        <f>SUM(W2,W3,W4,W6,W10,W11,W12,W13,W5)</f>
        <v>117</v>
      </c>
      <c r="E72" s="2">
        <f>B72*(D72/C72)</f>
        <v>5.8439062499999999</v>
      </c>
      <c r="K72" t="s">
        <v>103</v>
      </c>
      <c r="L72" s="2">
        <v>3199</v>
      </c>
    </row>
    <row r="73" spans="1:18" x14ac:dyDescent="0.35">
      <c r="A73" t="s">
        <v>119</v>
      </c>
      <c r="B73">
        <v>41.93</v>
      </c>
      <c r="C73">
        <v>960</v>
      </c>
      <c r="D73" s="2">
        <f>SUM(W5,W7,W8,W9)</f>
        <v>143</v>
      </c>
      <c r="E73" s="2">
        <f>B73*(D73/C73)</f>
        <v>6.2458229166666666</v>
      </c>
      <c r="K73" t="s">
        <v>16</v>
      </c>
      <c r="L73" s="32">
        <f>SUM(L67:L72)</f>
        <v>22822</v>
      </c>
    </row>
    <row r="74" spans="1:18" x14ac:dyDescent="0.35">
      <c r="A74" t="s">
        <v>120</v>
      </c>
      <c r="B74">
        <v>208</v>
      </c>
      <c r="C74">
        <v>50</v>
      </c>
      <c r="D74" s="2">
        <v>2</v>
      </c>
      <c r="E74" s="2">
        <f>B74*(D74/C74)</f>
        <v>8.32</v>
      </c>
      <c r="H74"/>
    </row>
    <row r="75" spans="1:18" x14ac:dyDescent="0.35">
      <c r="D75" t="s">
        <v>16</v>
      </c>
      <c r="E75" s="32">
        <f>SUM(E71:E74)</f>
        <v>28.359729166666668</v>
      </c>
      <c r="H75"/>
    </row>
    <row r="76" spans="1:18" x14ac:dyDescent="0.35">
      <c r="E76" s="16"/>
    </row>
    <row r="77" spans="1:18" x14ac:dyDescent="0.35">
      <c r="A77" t="s">
        <v>126</v>
      </c>
      <c r="B77">
        <v>539.86</v>
      </c>
      <c r="D77">
        <v>12620</v>
      </c>
      <c r="E77" s="16">
        <f>B77/D77</f>
        <v>4.2778129952456417E-2</v>
      </c>
      <c r="G77" s="16"/>
      <c r="I77"/>
      <c r="J77" s="59"/>
      <c r="K77" s="59"/>
      <c r="L77" s="59"/>
      <c r="M77" s="60"/>
      <c r="N77" s="59"/>
      <c r="O77" s="59"/>
    </row>
    <row r="78" spans="1:18" ht="15" customHeight="1" x14ac:dyDescent="0.35">
      <c r="A78" t="s">
        <v>128</v>
      </c>
      <c r="B78">
        <v>363.65</v>
      </c>
      <c r="D78">
        <v>5980</v>
      </c>
      <c r="E78" s="16">
        <f>B78/D78</f>
        <v>6.0811036789297654E-2</v>
      </c>
      <c r="G78" s="16"/>
      <c r="I78"/>
      <c r="J78" s="61"/>
      <c r="K78" s="62"/>
      <c r="L78" s="62"/>
      <c r="M78" s="62"/>
      <c r="N78" s="63"/>
      <c r="O78" s="59"/>
    </row>
    <row r="79" spans="1:18" ht="15.75" customHeight="1" x14ac:dyDescent="0.35">
      <c r="E79" s="16"/>
      <c r="G79" s="16"/>
      <c r="H79"/>
      <c r="J79" s="62"/>
      <c r="K79" s="62"/>
      <c r="L79" s="62"/>
      <c r="M79" s="62"/>
      <c r="N79" s="64"/>
      <c r="O79" s="59"/>
    </row>
    <row r="80" spans="1:18" s="12" customFormat="1" x14ac:dyDescent="0.35">
      <c r="A80" s="20" t="s">
        <v>130</v>
      </c>
      <c r="B80"/>
      <c r="C80"/>
      <c r="D80"/>
      <c r="E80" s="2"/>
      <c r="F80"/>
      <c r="G80" s="16"/>
      <c r="I80" s="2"/>
      <c r="J80" s="62"/>
      <c r="K80" s="65"/>
      <c r="L80" s="62"/>
      <c r="M80" s="65"/>
      <c r="N80" s="62"/>
      <c r="O80" s="59"/>
      <c r="P80"/>
      <c r="Q80"/>
      <c r="R80"/>
    </row>
    <row r="81" spans="1:24" x14ac:dyDescent="0.35">
      <c r="A81" t="s">
        <v>131</v>
      </c>
      <c r="B81" s="2">
        <v>15</v>
      </c>
      <c r="C81">
        <v>2500</v>
      </c>
      <c r="D81">
        <v>50</v>
      </c>
      <c r="E81" s="2">
        <f>B81*(D81/2500)</f>
        <v>0.3</v>
      </c>
      <c r="G81" s="16"/>
      <c r="J81" s="62"/>
      <c r="K81" s="65"/>
      <c r="L81" s="62"/>
      <c r="M81" s="65"/>
      <c r="N81" s="62"/>
      <c r="O81" s="59"/>
    </row>
    <row r="82" spans="1:24" x14ac:dyDescent="0.35">
      <c r="A82" t="s">
        <v>133</v>
      </c>
      <c r="B82" s="2">
        <v>10.199999999999999</v>
      </c>
      <c r="C82">
        <v>2500</v>
      </c>
      <c r="D82">
        <v>450</v>
      </c>
      <c r="E82" s="2">
        <f>B82*(D82/2500)</f>
        <v>1.8359999999999999</v>
      </c>
      <c r="I82"/>
      <c r="J82" s="59"/>
      <c r="K82" s="59"/>
      <c r="L82" s="59"/>
      <c r="M82" s="59"/>
      <c r="N82" s="59"/>
      <c r="O82" s="59"/>
    </row>
    <row r="83" spans="1:24" x14ac:dyDescent="0.35">
      <c r="D83" s="31" t="s">
        <v>16</v>
      </c>
      <c r="E83" s="32">
        <f>SUM(E81:E82)</f>
        <v>2.1359999999999997</v>
      </c>
      <c r="I83" s="12"/>
      <c r="J83" s="59"/>
      <c r="K83" s="59"/>
      <c r="L83" s="59"/>
      <c r="M83" s="59"/>
      <c r="N83" s="59"/>
      <c r="O83" s="59"/>
      <c r="Q83" s="12"/>
      <c r="R83" s="12"/>
    </row>
    <row r="84" spans="1:24" x14ac:dyDescent="0.35">
      <c r="A84" s="3" t="s">
        <v>134</v>
      </c>
      <c r="J84" s="62"/>
      <c r="K84" s="62"/>
      <c r="L84" s="61"/>
      <c r="M84" s="65"/>
      <c r="N84" s="62"/>
      <c r="O84" s="59"/>
    </row>
    <row r="85" spans="1:24" x14ac:dyDescent="0.35">
      <c r="A85" t="s">
        <v>135</v>
      </c>
      <c r="J85" s="59"/>
      <c r="K85" s="59"/>
      <c r="L85" s="59"/>
      <c r="M85" s="59"/>
      <c r="N85" s="59"/>
      <c r="O85" s="59"/>
    </row>
    <row r="86" spans="1:24" x14ac:dyDescent="0.35">
      <c r="A86" t="s">
        <v>136</v>
      </c>
      <c r="J86" s="59"/>
      <c r="K86" s="59"/>
      <c r="L86" s="59"/>
      <c r="M86" s="59"/>
      <c r="N86" s="59"/>
      <c r="O86" s="59"/>
    </row>
    <row r="87" spans="1:24" x14ac:dyDescent="0.35">
      <c r="M87"/>
    </row>
    <row r="88" spans="1:24" x14ac:dyDescent="0.35">
      <c r="A88" t="s">
        <v>137</v>
      </c>
      <c r="O88" s="2"/>
    </row>
    <row r="89" spans="1:24" x14ac:dyDescent="0.35">
      <c r="A89" s="36" t="s">
        <v>175</v>
      </c>
      <c r="B89" s="37"/>
      <c r="C89" s="37"/>
      <c r="D89" s="37" t="s">
        <v>177</v>
      </c>
      <c r="E89" s="58">
        <f>L73</f>
        <v>22822</v>
      </c>
    </row>
    <row r="90" spans="1:24" x14ac:dyDescent="0.35">
      <c r="A90" s="38" t="s">
        <v>122</v>
      </c>
      <c r="B90" s="38" t="s">
        <v>123</v>
      </c>
      <c r="C90" s="38" t="s">
        <v>124</v>
      </c>
      <c r="D90" s="38" t="s">
        <v>16</v>
      </c>
      <c r="E90" s="39" t="s">
        <v>125</v>
      </c>
      <c r="F90" s="2"/>
    </row>
    <row r="91" spans="1:24" x14ac:dyDescent="0.35">
      <c r="A91" s="38" t="s">
        <v>127</v>
      </c>
      <c r="B91" s="40">
        <v>37350</v>
      </c>
      <c r="C91" s="38">
        <f>5/100*B91</f>
        <v>1867.5</v>
      </c>
      <c r="D91" s="40">
        <f>SUM(B91:C91)</f>
        <v>39217.5</v>
      </c>
      <c r="E91" s="38"/>
      <c r="F91" s="2"/>
    </row>
    <row r="92" spans="1:24" x14ac:dyDescent="0.35">
      <c r="A92" s="38" t="s">
        <v>129</v>
      </c>
      <c r="B92" s="40">
        <v>50056</v>
      </c>
      <c r="C92" s="38">
        <f>5/100*B92</f>
        <v>2502.8000000000002</v>
      </c>
      <c r="D92" s="40">
        <f>SUM(B92:C92)</f>
        <v>52558.8</v>
      </c>
      <c r="E92" s="38"/>
      <c r="F92" s="2"/>
    </row>
    <row r="93" spans="1:24" ht="15.5" x14ac:dyDescent="0.35">
      <c r="A93" s="38"/>
      <c r="B93" s="40"/>
      <c r="C93" s="41" t="s">
        <v>132</v>
      </c>
      <c r="D93" s="40">
        <f>SUM(D91:D92)</f>
        <v>91776.3</v>
      </c>
      <c r="E93" s="42">
        <f>D93/E89</f>
        <v>4.0213960213828761</v>
      </c>
      <c r="F93" s="2"/>
      <c r="U93" s="45"/>
      <c r="V93" s="27"/>
      <c r="W93" s="46"/>
      <c r="X93" s="27"/>
    </row>
    <row r="94" spans="1:24" ht="15.5" x14ac:dyDescent="0.35">
      <c r="A94" s="38"/>
      <c r="B94" s="40"/>
      <c r="C94" s="38"/>
      <c r="D94" s="40"/>
      <c r="E94" s="38"/>
      <c r="F94" s="2"/>
      <c r="U94" s="45"/>
      <c r="V94" s="27"/>
      <c r="W94" s="47"/>
      <c r="X94" s="27"/>
    </row>
    <row r="95" spans="1:24" ht="15.5" x14ac:dyDescent="0.35">
      <c r="A95" s="43" t="s">
        <v>138</v>
      </c>
      <c r="B95" s="43" t="s">
        <v>139</v>
      </c>
      <c r="C95" s="43" t="s">
        <v>132</v>
      </c>
      <c r="D95" s="44" t="s">
        <v>140</v>
      </c>
      <c r="E95" s="43" t="s">
        <v>141</v>
      </c>
      <c r="F95" s="2"/>
      <c r="U95" s="48"/>
      <c r="V95" s="27"/>
      <c r="W95" s="47"/>
      <c r="X95" s="27"/>
    </row>
    <row r="96" spans="1:24" ht="15.5" x14ac:dyDescent="0.35">
      <c r="A96" s="7" t="s">
        <v>142</v>
      </c>
      <c r="B96" t="s">
        <v>143</v>
      </c>
      <c r="C96">
        <v>37125</v>
      </c>
      <c r="D96" s="2">
        <f>L73</f>
        <v>22822</v>
      </c>
      <c r="E96">
        <f>C96/D96</f>
        <v>1.6267198317413023</v>
      </c>
      <c r="F96" s="2"/>
      <c r="N96" s="45"/>
      <c r="O96" s="27"/>
      <c r="P96" s="46"/>
      <c r="Q96" s="27"/>
      <c r="U96" s="49"/>
      <c r="V96" s="27"/>
      <c r="W96" s="46"/>
      <c r="X96" s="27"/>
    </row>
    <row r="97" spans="1:24" ht="15.5" x14ac:dyDescent="0.35">
      <c r="A97" t="s">
        <v>144</v>
      </c>
      <c r="B97" t="s">
        <v>143</v>
      </c>
      <c r="C97">
        <v>3570</v>
      </c>
      <c r="D97" s="2">
        <f>L73</f>
        <v>22822</v>
      </c>
      <c r="E97">
        <f>C97/D97</f>
        <v>0.15642800806239593</v>
      </c>
      <c r="F97" s="2"/>
      <c r="N97" s="45"/>
      <c r="O97" s="27"/>
      <c r="P97" s="47"/>
      <c r="Q97" s="27"/>
      <c r="U97" s="50"/>
      <c r="V97" s="27"/>
      <c r="W97" s="47"/>
      <c r="X97" s="27"/>
    </row>
    <row r="98" spans="1:24" ht="15.5" x14ac:dyDescent="0.35">
      <c r="D98" t="s">
        <v>16</v>
      </c>
      <c r="E98" s="32">
        <f>SUM(E96:E97)</f>
        <v>1.7831478398036982</v>
      </c>
      <c r="F98" s="2"/>
      <c r="N98" s="48"/>
      <c r="O98" s="27"/>
      <c r="P98" s="47"/>
      <c r="Q98" s="27"/>
      <c r="U98" s="48"/>
      <c r="V98" s="27"/>
      <c r="W98" s="47"/>
      <c r="X98" s="27"/>
    </row>
    <row r="99" spans="1:24" ht="16" thickBot="1" x14ac:dyDescent="0.4">
      <c r="B99" s="12"/>
      <c r="C99" s="12"/>
      <c r="D99" s="12"/>
      <c r="N99" s="49"/>
      <c r="O99" s="27"/>
      <c r="P99" s="46"/>
      <c r="Q99" s="27"/>
      <c r="U99" s="51"/>
      <c r="V99" s="27"/>
      <c r="W99" s="46"/>
      <c r="X99" s="27"/>
    </row>
    <row r="100" spans="1:24" ht="15.5" x14ac:dyDescent="0.35">
      <c r="A100" s="119" t="s">
        <v>145</v>
      </c>
      <c r="B100" s="120"/>
      <c r="C100" s="121"/>
      <c r="N100" s="50"/>
      <c r="O100" s="27"/>
      <c r="P100" s="47"/>
      <c r="Q100" s="27"/>
      <c r="U100" s="48"/>
      <c r="V100" s="27"/>
      <c r="W100" s="47"/>
      <c r="X100" s="27"/>
    </row>
    <row r="101" spans="1:24" ht="15.5" x14ac:dyDescent="0.35">
      <c r="A101" s="73"/>
      <c r="B101" s="74"/>
      <c r="C101" s="75" t="s">
        <v>203</v>
      </c>
      <c r="E101" s="104"/>
      <c r="N101" s="48"/>
      <c r="O101" s="27"/>
      <c r="P101" s="47"/>
      <c r="Q101" s="27"/>
      <c r="U101" s="48"/>
      <c r="V101" s="27"/>
      <c r="W101" s="46"/>
      <c r="X101" s="27"/>
    </row>
    <row r="102" spans="1:24" ht="15.5" x14ac:dyDescent="0.35">
      <c r="A102" s="73" t="s">
        <v>146</v>
      </c>
      <c r="B102" s="76"/>
      <c r="C102" s="77">
        <f>SUM(F9,F13)</f>
        <v>1.3728087549388798E-2</v>
      </c>
      <c r="D102" s="12"/>
      <c r="E102" s="105"/>
      <c r="F102" s="12"/>
      <c r="N102" s="51"/>
      <c r="O102" s="27"/>
      <c r="P102" s="46"/>
      <c r="Q102" s="27"/>
      <c r="U102" s="48"/>
      <c r="V102" s="27"/>
      <c r="W102" s="47"/>
      <c r="X102" s="27"/>
    </row>
    <row r="103" spans="1:24" ht="15.5" x14ac:dyDescent="0.35">
      <c r="A103" s="78" t="s">
        <v>147</v>
      </c>
      <c r="B103" s="79"/>
      <c r="C103" s="80">
        <f>50*(SUM(F19,F23,F27,F31,F35,F39,F44))</f>
        <v>0.87608550000000018</v>
      </c>
      <c r="D103" s="2"/>
      <c r="E103" s="106"/>
      <c r="N103" s="48"/>
      <c r="O103" s="27"/>
      <c r="P103" s="47"/>
      <c r="Q103" s="27"/>
      <c r="U103" s="48"/>
      <c r="V103" s="27"/>
      <c r="W103" s="46"/>
      <c r="X103" s="27"/>
    </row>
    <row r="104" spans="1:24" ht="15.5" x14ac:dyDescent="0.35">
      <c r="A104" s="78" t="s">
        <v>148</v>
      </c>
      <c r="B104" s="79"/>
      <c r="C104" s="81">
        <f>F48</f>
        <v>204.7833333333333</v>
      </c>
      <c r="D104" s="2"/>
      <c r="E104" s="60"/>
      <c r="G104" s="12"/>
      <c r="N104" s="48"/>
      <c r="O104" s="27"/>
      <c r="P104" s="46"/>
      <c r="Q104" s="27"/>
      <c r="U104" s="52"/>
      <c r="V104" s="27"/>
      <c r="W104" s="47"/>
      <c r="X104" s="27"/>
    </row>
    <row r="105" spans="1:24" ht="15.5" x14ac:dyDescent="0.35">
      <c r="A105" s="78" t="s">
        <v>149</v>
      </c>
      <c r="B105" s="79"/>
      <c r="C105" s="81">
        <f>(P41+M53)*50</f>
        <v>5.1239753749999988</v>
      </c>
      <c r="D105" s="2"/>
      <c r="E105" s="60"/>
      <c r="N105" s="48"/>
      <c r="O105" s="27"/>
      <c r="P105" s="47"/>
      <c r="Q105" s="27"/>
      <c r="U105" s="52"/>
      <c r="V105" s="27"/>
      <c r="W105" s="46"/>
      <c r="X105" s="27"/>
    </row>
    <row r="106" spans="1:24" ht="15.5" x14ac:dyDescent="0.35">
      <c r="A106" s="78" t="s">
        <v>150</v>
      </c>
      <c r="B106" s="79"/>
      <c r="C106" s="81">
        <f>E75</f>
        <v>28.359729166666668</v>
      </c>
      <c r="D106" s="2"/>
      <c r="E106" s="60"/>
      <c r="N106" s="48"/>
      <c r="O106" s="27"/>
      <c r="P106" s="46"/>
      <c r="Q106" s="27"/>
      <c r="U106" s="48"/>
      <c r="V106" s="27"/>
      <c r="W106" s="47"/>
      <c r="X106" s="27"/>
    </row>
    <row r="107" spans="1:24" ht="15.5" x14ac:dyDescent="0.35">
      <c r="A107" s="78" t="s">
        <v>128</v>
      </c>
      <c r="B107" s="79"/>
      <c r="C107" s="81">
        <f>E78*50</f>
        <v>3.0405518394648827</v>
      </c>
      <c r="D107" s="2"/>
      <c r="E107" s="60"/>
      <c r="F107" s="2"/>
      <c r="N107" s="52"/>
      <c r="O107" s="27"/>
      <c r="P107" s="47"/>
      <c r="Q107" s="27"/>
      <c r="U107" s="48"/>
      <c r="V107" s="27"/>
      <c r="W107" s="46"/>
      <c r="X107" s="27"/>
    </row>
    <row r="108" spans="1:24" ht="15.5" x14ac:dyDescent="0.35">
      <c r="A108" s="78" t="s">
        <v>151</v>
      </c>
      <c r="B108" s="82"/>
      <c r="C108" s="81">
        <f>E77*50</f>
        <v>2.1389064976228207</v>
      </c>
      <c r="E108" s="60"/>
      <c r="F108" s="2"/>
      <c r="N108" s="52"/>
      <c r="O108" s="27"/>
      <c r="P108" s="46"/>
      <c r="Q108" s="27"/>
      <c r="U108" s="48"/>
      <c r="V108" s="27"/>
      <c r="W108" s="47"/>
      <c r="X108" s="27"/>
    </row>
    <row r="109" spans="1:24" ht="15.5" x14ac:dyDescent="0.35">
      <c r="A109" s="78" t="s">
        <v>138</v>
      </c>
      <c r="B109" s="82"/>
      <c r="C109" s="81">
        <f>20*E98</f>
        <v>35.662956796073964</v>
      </c>
      <c r="E109" s="60"/>
      <c r="F109" s="2"/>
      <c r="N109" s="48"/>
      <c r="O109" s="27"/>
      <c r="P109" s="47"/>
      <c r="Q109" s="27"/>
      <c r="U109" s="48"/>
      <c r="V109" s="27"/>
      <c r="W109" s="47"/>
      <c r="X109" s="27"/>
    </row>
    <row r="110" spans="1:24" ht="15.5" x14ac:dyDescent="0.35">
      <c r="A110" s="78" t="s">
        <v>152</v>
      </c>
      <c r="B110" s="82"/>
      <c r="C110" s="81">
        <v>124.5</v>
      </c>
      <c r="E110" s="60"/>
      <c r="N110" s="48"/>
      <c r="O110" s="27"/>
      <c r="P110" s="46"/>
      <c r="Q110" s="27"/>
      <c r="U110" s="48"/>
      <c r="V110" s="27"/>
      <c r="W110" s="47"/>
      <c r="X110" s="27"/>
    </row>
    <row r="111" spans="1:24" ht="15.5" x14ac:dyDescent="0.35">
      <c r="A111" s="78"/>
      <c r="B111" s="82" t="s">
        <v>16</v>
      </c>
      <c r="C111" s="81">
        <f>SUM(C102:C110)</f>
        <v>404.49926659571105</v>
      </c>
      <c r="E111" s="60"/>
      <c r="N111" s="48"/>
      <c r="O111" s="27"/>
      <c r="P111" s="47"/>
      <c r="Q111" s="27"/>
      <c r="U111" s="52"/>
      <c r="V111" s="27"/>
      <c r="W111" s="47"/>
      <c r="X111" s="27"/>
    </row>
    <row r="112" spans="1:24" ht="15.5" x14ac:dyDescent="0.35">
      <c r="A112" s="78"/>
      <c r="B112" s="82"/>
      <c r="C112" s="83"/>
      <c r="D112" s="53"/>
      <c r="E112" s="60"/>
      <c r="N112" s="48"/>
      <c r="O112" s="27"/>
      <c r="P112" s="47"/>
      <c r="Q112" s="27"/>
      <c r="U112" s="52"/>
      <c r="V112" s="27"/>
      <c r="W112" s="47"/>
      <c r="X112" s="27"/>
    </row>
    <row r="113" spans="1:24" ht="16" thickBot="1" x14ac:dyDescent="0.4">
      <c r="A113" s="84" t="s">
        <v>174</v>
      </c>
      <c r="B113" s="85"/>
      <c r="C113" s="86">
        <f>(C111/50)</f>
        <v>8.089985331914221</v>
      </c>
      <c r="E113" s="60"/>
      <c r="N113" s="48"/>
      <c r="O113" s="27"/>
      <c r="P113" s="47"/>
      <c r="Q113" s="27"/>
      <c r="U113" s="48"/>
      <c r="V113" s="27"/>
      <c r="W113" s="47" t="s">
        <v>153</v>
      </c>
      <c r="X113" s="27"/>
    </row>
    <row r="114" spans="1:24" ht="15.5" x14ac:dyDescent="0.35">
      <c r="E114" s="60"/>
      <c r="N114" s="52"/>
      <c r="O114" s="27"/>
      <c r="P114" s="47"/>
      <c r="Q114" s="27"/>
      <c r="U114" s="48"/>
      <c r="V114" s="27"/>
      <c r="W114" s="27"/>
      <c r="X114" s="27"/>
    </row>
    <row r="115" spans="1:24" ht="15.5" x14ac:dyDescent="0.35">
      <c r="C115" s="2"/>
      <c r="N115" s="52"/>
      <c r="O115" s="27"/>
      <c r="P115" s="47"/>
      <c r="Q115" s="27"/>
      <c r="U115" s="48"/>
      <c r="V115" s="27"/>
      <c r="W115" s="27"/>
      <c r="X115" s="27"/>
    </row>
    <row r="116" spans="1:24" ht="15.5" x14ac:dyDescent="0.35">
      <c r="N116" s="48"/>
      <c r="O116" s="27"/>
      <c r="P116" s="47"/>
      <c r="Q116" s="27"/>
      <c r="U116" s="48"/>
      <c r="V116" s="27"/>
      <c r="W116" s="27"/>
      <c r="X116" s="54"/>
    </row>
    <row r="117" spans="1:24" x14ac:dyDescent="0.35">
      <c r="C117" s="2"/>
      <c r="N117" s="48"/>
      <c r="O117" s="27"/>
      <c r="P117" s="27"/>
      <c r="Q117" s="27"/>
      <c r="U117" s="48"/>
      <c r="V117" s="55"/>
      <c r="W117" s="27"/>
      <c r="X117" s="55"/>
    </row>
    <row r="118" spans="1:24" x14ac:dyDescent="0.35">
      <c r="N118" s="48"/>
      <c r="O118" s="27"/>
      <c r="P118" s="27"/>
      <c r="Q118" s="27"/>
      <c r="U118" s="52"/>
      <c r="V118" s="55"/>
      <c r="W118" s="27"/>
      <c r="X118" s="55"/>
    </row>
    <row r="119" spans="1:24" x14ac:dyDescent="0.35">
      <c r="N119" s="48"/>
      <c r="O119" s="27"/>
      <c r="P119" s="27"/>
      <c r="Q119" s="54"/>
      <c r="U119" s="48"/>
      <c r="V119" s="55"/>
      <c r="W119" s="27"/>
      <c r="X119" s="55"/>
    </row>
    <row r="120" spans="1:24" x14ac:dyDescent="0.35">
      <c r="N120" s="48"/>
      <c r="O120" s="55"/>
      <c r="P120" s="27"/>
      <c r="Q120" s="55"/>
      <c r="U120" s="48"/>
      <c r="V120" s="55"/>
      <c r="W120" s="27"/>
      <c r="X120" s="55"/>
    </row>
    <row r="121" spans="1:24" x14ac:dyDescent="0.35">
      <c r="N121" s="52"/>
      <c r="O121" s="55"/>
      <c r="P121" s="27"/>
      <c r="Q121" s="55"/>
      <c r="U121" s="48"/>
      <c r="V121" s="27"/>
      <c r="W121" s="27"/>
      <c r="X121" s="27"/>
    </row>
    <row r="122" spans="1:24" x14ac:dyDescent="0.35">
      <c r="N122" s="48"/>
      <c r="O122" s="55"/>
      <c r="P122" s="27"/>
      <c r="Q122" s="55"/>
      <c r="U122" s="52"/>
      <c r="V122" s="27"/>
      <c r="W122" s="27"/>
      <c r="X122" s="27"/>
    </row>
    <row r="123" spans="1:24" ht="15.5" x14ac:dyDescent="0.35">
      <c r="N123" s="48"/>
      <c r="O123" s="55"/>
      <c r="P123" s="27"/>
      <c r="Q123" s="55"/>
      <c r="U123" s="21"/>
      <c r="V123" s="56"/>
      <c r="W123" s="27"/>
      <c r="X123" s="27"/>
    </row>
    <row r="124" spans="1:24" ht="15.5" x14ac:dyDescent="0.35">
      <c r="N124" s="48"/>
      <c r="O124" s="27"/>
      <c r="P124" s="27"/>
      <c r="Q124" s="27"/>
      <c r="U124" s="21"/>
      <c r="V124" s="55"/>
      <c r="W124" s="27"/>
      <c r="X124" s="27"/>
    </row>
    <row r="125" spans="1:24" ht="15.5" x14ac:dyDescent="0.35">
      <c r="N125" s="52"/>
      <c r="O125" s="27"/>
      <c r="P125" s="27"/>
      <c r="Q125" s="27"/>
      <c r="U125" s="21"/>
      <c r="V125" s="55"/>
      <c r="W125" s="27"/>
      <c r="X125" s="27"/>
    </row>
    <row r="126" spans="1:24" ht="15.5" x14ac:dyDescent="0.35">
      <c r="N126" s="21"/>
      <c r="O126" s="56"/>
      <c r="P126" s="27"/>
      <c r="Q126" s="27"/>
      <c r="U126" s="21"/>
    </row>
    <row r="127" spans="1:24" ht="15.5" x14ac:dyDescent="0.35">
      <c r="N127" s="21"/>
      <c r="O127" s="55"/>
      <c r="P127" s="27"/>
      <c r="Q127" s="27"/>
      <c r="U127" s="21"/>
    </row>
    <row r="128" spans="1:24" ht="15.5" x14ac:dyDescent="0.35">
      <c r="N128" s="21"/>
      <c r="O128" s="55"/>
      <c r="P128" s="27"/>
      <c r="Q128" s="27"/>
      <c r="U128" s="21"/>
    </row>
    <row r="129" spans="14:21" ht="15.5" x14ac:dyDescent="0.35">
      <c r="N129" s="21"/>
      <c r="U129" s="48"/>
    </row>
    <row r="130" spans="14:21" ht="15.5" x14ac:dyDescent="0.35">
      <c r="N130" s="21"/>
    </row>
    <row r="131" spans="14:21" ht="15.5" x14ac:dyDescent="0.35">
      <c r="N131" s="21"/>
    </row>
    <row r="132" spans="14:21" x14ac:dyDescent="0.35">
      <c r="N132" s="48"/>
    </row>
    <row r="134" spans="14:21" x14ac:dyDescent="0.35">
      <c r="U134" s="7"/>
    </row>
    <row r="137" spans="14:21" x14ac:dyDescent="0.35">
      <c r="N137" s="7"/>
    </row>
  </sheetData>
  <sheetProtection algorithmName="SHA-512" hashValue="41AA7XpZ8hIymhPWco6Tmtp+Ddv/HnaAWVGb2KPdLJ6NbKyY8jhoyae9quINRdp2GWDwWlTNuClFs+p92MagPQ==" saltValue="glTwQF1rJTrpVF7ublNg3g==" spinCount="100000" sheet="1" objects="1" scenarios="1" selectLockedCells="1" selectUnlockedCells="1"/>
  <mergeCells count="1">
    <mergeCell ref="A100:C100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1"/>
  <sheetViews>
    <sheetView topLeftCell="A16" zoomScale="96" zoomScaleNormal="96" workbookViewId="0">
      <selection activeCell="A31" sqref="A31"/>
    </sheetView>
  </sheetViews>
  <sheetFormatPr defaultRowHeight="14.5" x14ac:dyDescent="0.35"/>
  <cols>
    <col min="1" max="1" width="41.1796875" customWidth="1"/>
    <col min="2" max="2" width="11.7265625" customWidth="1"/>
    <col min="3" max="3" width="18.7265625" customWidth="1"/>
    <col min="4" max="4" width="12.54296875" customWidth="1"/>
    <col min="5" max="5" width="18.54296875" customWidth="1"/>
    <col min="17" max="17" width="26.7265625" customWidth="1"/>
  </cols>
  <sheetData>
    <row r="1" spans="1:21" ht="22" customHeight="1" x14ac:dyDescent="0.35">
      <c r="A1" s="3" t="s">
        <v>279</v>
      </c>
      <c r="B1" s="27"/>
      <c r="C1" s="27"/>
      <c r="D1" s="27"/>
      <c r="E1" s="27"/>
      <c r="F1" s="27"/>
      <c r="G1" s="3" t="s">
        <v>277</v>
      </c>
      <c r="H1" s="2"/>
      <c r="I1" s="2"/>
      <c r="J1" s="2">
        <v>9502</v>
      </c>
      <c r="R1" t="s">
        <v>178</v>
      </c>
      <c r="S1" t="s">
        <v>179</v>
      </c>
    </row>
    <row r="2" spans="1:21" ht="29" x14ac:dyDescent="0.35">
      <c r="A2" t="s">
        <v>180</v>
      </c>
      <c r="B2" t="s">
        <v>5</v>
      </c>
      <c r="C2" t="s">
        <v>6</v>
      </c>
      <c r="D2" s="12" t="s">
        <v>181</v>
      </c>
      <c r="E2" s="13" t="s">
        <v>8</v>
      </c>
      <c r="F2" s="27"/>
      <c r="G2" s="27"/>
      <c r="H2" s="27"/>
      <c r="R2">
        <v>262.2</v>
      </c>
      <c r="S2" t="s">
        <v>182</v>
      </c>
    </row>
    <row r="3" spans="1:21" x14ac:dyDescent="0.35">
      <c r="A3" s="26" t="s">
        <v>183</v>
      </c>
      <c r="B3" s="27">
        <v>550.79999999999995</v>
      </c>
      <c r="C3" s="27">
        <v>1</v>
      </c>
      <c r="D3" s="27">
        <v>34</v>
      </c>
      <c r="E3" s="27"/>
      <c r="F3" s="27"/>
      <c r="G3" s="27"/>
      <c r="H3" s="27"/>
      <c r="S3" t="s">
        <v>184</v>
      </c>
    </row>
    <row r="4" spans="1:21" x14ac:dyDescent="0.35">
      <c r="A4" s="27"/>
      <c r="B4" s="27"/>
      <c r="C4" s="27"/>
      <c r="D4" s="27"/>
      <c r="E4" s="27"/>
      <c r="F4" s="27"/>
      <c r="G4" s="27"/>
      <c r="H4" s="27"/>
      <c r="S4" t="s">
        <v>185</v>
      </c>
    </row>
    <row r="5" spans="1:21" x14ac:dyDescent="0.35">
      <c r="A5" s="26" t="s">
        <v>186</v>
      </c>
      <c r="B5" s="27"/>
      <c r="C5" s="27"/>
      <c r="D5" s="27"/>
      <c r="E5" s="27"/>
      <c r="F5" s="27"/>
      <c r="G5" s="27"/>
      <c r="H5" s="27"/>
      <c r="S5" t="s">
        <v>187</v>
      </c>
    </row>
    <row r="6" spans="1:21" x14ac:dyDescent="0.35">
      <c r="A6" s="27" t="s">
        <v>188</v>
      </c>
      <c r="B6" s="27">
        <v>46.93</v>
      </c>
      <c r="C6" s="27">
        <v>768</v>
      </c>
      <c r="D6" s="27">
        <v>6</v>
      </c>
      <c r="E6" s="27">
        <f>B6*(D6/C6)</f>
        <v>0.366640625</v>
      </c>
      <c r="F6" s="27"/>
      <c r="G6" s="27"/>
    </row>
    <row r="7" spans="1:21" x14ac:dyDescent="0.35">
      <c r="A7" s="27" t="s">
        <v>189</v>
      </c>
      <c r="B7" s="27">
        <v>46.93</v>
      </c>
      <c r="C7" s="27">
        <v>960</v>
      </c>
      <c r="D7" s="27">
        <v>3</v>
      </c>
      <c r="E7" s="27">
        <f>B7*(D7/C7)</f>
        <v>0.14665625000000002</v>
      </c>
      <c r="F7" s="27"/>
      <c r="G7" s="27"/>
      <c r="H7" s="27"/>
    </row>
    <row r="8" spans="1:21" x14ac:dyDescent="0.35">
      <c r="A8" s="27" t="s">
        <v>190</v>
      </c>
      <c r="B8" s="27">
        <v>46.93</v>
      </c>
      <c r="C8" s="27">
        <v>960</v>
      </c>
      <c r="D8" s="27">
        <v>50</v>
      </c>
      <c r="E8" s="27">
        <f>B8*(D8/C8)</f>
        <v>2.4442708333333334</v>
      </c>
      <c r="F8" s="27"/>
      <c r="G8" s="27"/>
      <c r="H8" s="27"/>
    </row>
    <row r="9" spans="1:21" x14ac:dyDescent="0.35">
      <c r="A9" s="26" t="s">
        <v>16</v>
      </c>
      <c r="B9" s="27"/>
      <c r="C9" s="27"/>
      <c r="D9" s="27"/>
      <c r="E9" s="27">
        <f>SUM(E6:E8)</f>
        <v>2.9575677083333334</v>
      </c>
      <c r="F9" s="27"/>
      <c r="G9" s="27"/>
      <c r="H9" s="27"/>
    </row>
    <row r="10" spans="1:21" x14ac:dyDescent="0.35">
      <c r="A10" s="26"/>
      <c r="B10" s="27"/>
      <c r="C10" s="27"/>
      <c r="D10" s="27"/>
      <c r="E10" s="27"/>
      <c r="F10" s="27"/>
      <c r="G10" s="27"/>
      <c r="H10" s="27"/>
    </row>
    <row r="11" spans="1:21" x14ac:dyDescent="0.35">
      <c r="A11" s="26" t="s">
        <v>191</v>
      </c>
      <c r="B11" t="s">
        <v>192</v>
      </c>
      <c r="C11" s="27" t="s">
        <v>6</v>
      </c>
      <c r="D11" s="27" t="s">
        <v>193</v>
      </c>
      <c r="E11" s="27" t="s">
        <v>8</v>
      </c>
      <c r="F11" s="27"/>
      <c r="G11" s="27"/>
      <c r="H11" s="27"/>
      <c r="S11" t="s">
        <v>194</v>
      </c>
    </row>
    <row r="12" spans="1:21" x14ac:dyDescent="0.35">
      <c r="A12" s="27" t="s">
        <v>195</v>
      </c>
      <c r="B12" s="27">
        <v>262.2</v>
      </c>
      <c r="C12" s="27" t="s">
        <v>196</v>
      </c>
      <c r="D12" s="27">
        <v>15000</v>
      </c>
      <c r="E12" s="27">
        <f>B12*(25/15000)</f>
        <v>0.437</v>
      </c>
      <c r="F12" s="27"/>
      <c r="G12" s="27"/>
      <c r="H12" s="27"/>
    </row>
    <row r="13" spans="1:21" x14ac:dyDescent="0.35">
      <c r="A13" s="27" t="s">
        <v>197</v>
      </c>
      <c r="B13" s="27">
        <v>262.2</v>
      </c>
      <c r="C13" s="27" t="s">
        <v>196</v>
      </c>
      <c r="D13" s="27">
        <v>15000</v>
      </c>
      <c r="E13" s="27">
        <f>B13*(25/15000)</f>
        <v>0.437</v>
      </c>
      <c r="F13" s="27"/>
      <c r="G13" s="27"/>
      <c r="H13" s="27"/>
      <c r="S13" s="20" t="s">
        <v>83</v>
      </c>
    </row>
    <row r="14" spans="1:21" x14ac:dyDescent="0.35">
      <c r="A14" s="27" t="s">
        <v>198</v>
      </c>
      <c r="B14" s="27">
        <v>262.2</v>
      </c>
      <c r="C14" s="27" t="s">
        <v>196</v>
      </c>
      <c r="D14" s="27">
        <v>15000</v>
      </c>
      <c r="E14" s="27">
        <f>B14*(50/15000)</f>
        <v>0.874</v>
      </c>
      <c r="F14" s="27"/>
      <c r="G14" s="27"/>
      <c r="H14" s="27"/>
      <c r="R14">
        <v>21.6</v>
      </c>
      <c r="S14" t="s">
        <v>199</v>
      </c>
      <c r="T14" s="2">
        <v>65</v>
      </c>
      <c r="U14">
        <v>500</v>
      </c>
    </row>
    <row r="15" spans="1:21" x14ac:dyDescent="0.35">
      <c r="A15" s="27"/>
      <c r="B15" s="27"/>
      <c r="C15" s="27"/>
      <c r="D15" s="27"/>
      <c r="E15" s="27"/>
      <c r="F15" s="27"/>
      <c r="G15" s="27"/>
      <c r="H15" s="27"/>
      <c r="S15" t="s">
        <v>200</v>
      </c>
      <c r="T15" s="2">
        <v>31</v>
      </c>
      <c r="U15">
        <v>500</v>
      </c>
    </row>
    <row r="16" spans="1:21" x14ac:dyDescent="0.35">
      <c r="A16" s="27"/>
      <c r="B16" s="27"/>
      <c r="C16" s="27"/>
      <c r="D16" s="27"/>
      <c r="E16" s="27"/>
      <c r="F16" s="27"/>
      <c r="G16" s="27"/>
      <c r="H16" s="27"/>
      <c r="S16" t="s">
        <v>201</v>
      </c>
      <c r="T16">
        <v>128.5</v>
      </c>
      <c r="U16">
        <v>500</v>
      </c>
    </row>
    <row r="17" spans="1:20" x14ac:dyDescent="0.35">
      <c r="A17" s="27"/>
      <c r="B17" s="27"/>
      <c r="C17" s="27"/>
      <c r="D17" s="27"/>
      <c r="E17" s="27"/>
      <c r="F17" s="27"/>
      <c r="G17" s="27"/>
      <c r="H17" s="27"/>
    </row>
    <row r="18" spans="1:20" x14ac:dyDescent="0.35">
      <c r="A18" s="27"/>
      <c r="B18" s="27"/>
      <c r="C18" s="66" t="s">
        <v>16</v>
      </c>
      <c r="D18" s="66"/>
      <c r="E18" s="66">
        <f>SUM(E12:E16)</f>
        <v>1.748</v>
      </c>
      <c r="F18" s="27"/>
      <c r="G18" s="27"/>
      <c r="H18" s="27"/>
    </row>
    <row r="19" spans="1:20" x14ac:dyDescent="0.35">
      <c r="A19" s="55"/>
      <c r="B19" s="27"/>
      <c r="C19" s="27"/>
      <c r="D19" s="27"/>
      <c r="E19" s="27"/>
      <c r="F19" s="27"/>
      <c r="G19" s="27"/>
      <c r="H19" s="27"/>
      <c r="R19" t="s">
        <v>0</v>
      </c>
      <c r="S19" t="s">
        <v>202</v>
      </c>
      <c r="T19" t="s">
        <v>203</v>
      </c>
    </row>
    <row r="20" spans="1:20" x14ac:dyDescent="0.35">
      <c r="A20" s="67" t="s">
        <v>204</v>
      </c>
      <c r="B20" s="27"/>
      <c r="C20" s="27"/>
      <c r="D20" s="27"/>
      <c r="E20" s="27"/>
      <c r="F20" s="27"/>
      <c r="G20" s="27"/>
      <c r="H20" s="27"/>
      <c r="Q20" t="s">
        <v>205</v>
      </c>
      <c r="R20" t="s">
        <v>39</v>
      </c>
      <c r="S20" t="s">
        <v>206</v>
      </c>
      <c r="T20" t="s">
        <v>206</v>
      </c>
    </row>
    <row r="21" spans="1:20" x14ac:dyDescent="0.35">
      <c r="A21" s="55" t="s">
        <v>207</v>
      </c>
      <c r="B21" s="27"/>
      <c r="C21" s="27"/>
      <c r="D21" s="27">
        <v>34</v>
      </c>
      <c r="E21" s="27"/>
      <c r="F21" s="27"/>
      <c r="G21" s="27"/>
      <c r="H21" s="27"/>
      <c r="Q21" t="s">
        <v>208</v>
      </c>
      <c r="R21" t="s">
        <v>209</v>
      </c>
      <c r="S21" t="s">
        <v>210</v>
      </c>
      <c r="T21" t="s">
        <v>210</v>
      </c>
    </row>
    <row r="22" spans="1:20" x14ac:dyDescent="0.35">
      <c r="A22" s="27" t="s">
        <v>211</v>
      </c>
      <c r="B22" s="27"/>
      <c r="C22" s="27"/>
      <c r="D22" s="27">
        <f>B3/D21</f>
        <v>16.2</v>
      </c>
      <c r="E22" s="27"/>
      <c r="F22" s="27"/>
      <c r="G22" s="27"/>
      <c r="H22" s="27"/>
    </row>
    <row r="23" spans="1:20" x14ac:dyDescent="0.35">
      <c r="A23" s="27"/>
      <c r="B23" s="27"/>
      <c r="C23" s="27"/>
      <c r="D23" s="27"/>
      <c r="E23" s="27"/>
      <c r="F23" s="27"/>
      <c r="G23" s="27"/>
      <c r="H23" s="27"/>
    </row>
    <row r="24" spans="1:20" x14ac:dyDescent="0.35">
      <c r="A24" s="27"/>
      <c r="B24" s="27"/>
      <c r="C24" s="27"/>
      <c r="D24" s="27"/>
      <c r="E24" s="27"/>
      <c r="F24" s="27"/>
      <c r="G24" s="27"/>
      <c r="H24" s="27"/>
      <c r="Q24" t="s">
        <v>212</v>
      </c>
      <c r="S24">
        <v>5178.8999999999996</v>
      </c>
    </row>
    <row r="25" spans="1:20" x14ac:dyDescent="0.35">
      <c r="A25" s="68" t="s">
        <v>213</v>
      </c>
      <c r="B25" s="69"/>
      <c r="C25" s="70" t="s">
        <v>203</v>
      </c>
      <c r="D25" s="70" t="s">
        <v>121</v>
      </c>
      <c r="E25" s="70" t="s">
        <v>214</v>
      </c>
      <c r="F25" s="27"/>
      <c r="G25" s="27"/>
      <c r="H25" s="27"/>
      <c r="Q25" s="3" t="s">
        <v>215</v>
      </c>
    </row>
    <row r="26" spans="1:20" x14ac:dyDescent="0.35">
      <c r="A26" s="7" t="s">
        <v>216</v>
      </c>
      <c r="B26" s="12"/>
      <c r="C26" s="71">
        <v>735</v>
      </c>
      <c r="D26">
        <v>9193</v>
      </c>
      <c r="E26" s="31">
        <f>C26/D26</f>
        <v>7.9952137495920811E-2</v>
      </c>
      <c r="F26" s="27"/>
      <c r="G26" s="27"/>
      <c r="H26" s="27"/>
      <c r="Q26" s="3" t="s">
        <v>217</v>
      </c>
      <c r="R26" s="3"/>
      <c r="S26" s="3"/>
    </row>
    <row r="27" spans="1:20" x14ac:dyDescent="0.35">
      <c r="A27" s="27"/>
      <c r="B27" s="27"/>
      <c r="C27" s="27"/>
      <c r="D27" s="27"/>
      <c r="E27" s="27"/>
      <c r="F27" s="27"/>
      <c r="G27" s="27"/>
      <c r="H27" s="27"/>
      <c r="Q27" s="122" t="s">
        <v>101</v>
      </c>
      <c r="R27" s="122"/>
      <c r="S27">
        <v>5040</v>
      </c>
    </row>
    <row r="28" spans="1:20" x14ac:dyDescent="0.35">
      <c r="A28" s="27"/>
      <c r="B28" s="27"/>
      <c r="C28" s="27"/>
      <c r="D28" s="27"/>
      <c r="E28" s="27"/>
      <c r="F28" s="27"/>
      <c r="G28" s="27"/>
      <c r="H28" s="27"/>
      <c r="Q28" s="122" t="s">
        <v>217</v>
      </c>
      <c r="R28" s="122"/>
      <c r="S28">
        <v>4058</v>
      </c>
    </row>
    <row r="29" spans="1:20" x14ac:dyDescent="0.35">
      <c r="A29" s="43" t="s">
        <v>218</v>
      </c>
      <c r="B29" s="43" t="s">
        <v>139</v>
      </c>
      <c r="C29" s="43" t="s">
        <v>132</v>
      </c>
      <c r="D29" s="44" t="s">
        <v>140</v>
      </c>
      <c r="E29" s="43" t="s">
        <v>141</v>
      </c>
      <c r="H29" s="27"/>
      <c r="Q29" s="122" t="s">
        <v>219</v>
      </c>
      <c r="R29" s="122"/>
      <c r="S29">
        <v>404</v>
      </c>
    </row>
    <row r="30" spans="1:20" x14ac:dyDescent="0.35">
      <c r="A30" s="7" t="s">
        <v>220</v>
      </c>
      <c r="B30" t="s">
        <v>143</v>
      </c>
      <c r="C30">
        <v>5178.8999999999996</v>
      </c>
      <c r="D30">
        <f>S30</f>
        <v>9502</v>
      </c>
      <c r="E30">
        <f>C30/D30</f>
        <v>0.54503262471058722</v>
      </c>
      <c r="H30" s="27"/>
      <c r="R30" s="72" t="s">
        <v>16</v>
      </c>
      <c r="S30" s="72">
        <f>SUM(S27:S29)</f>
        <v>9502</v>
      </c>
    </row>
    <row r="31" spans="1:20" x14ac:dyDescent="0.35">
      <c r="H31" s="27"/>
    </row>
    <row r="32" spans="1:20" x14ac:dyDescent="0.35">
      <c r="A32" s="36" t="s">
        <v>134</v>
      </c>
      <c r="B32" s="37"/>
      <c r="C32" s="37"/>
      <c r="D32" s="37" t="s">
        <v>121</v>
      </c>
      <c r="E32" s="37">
        <v>78274</v>
      </c>
      <c r="F32" s="27"/>
      <c r="G32" s="27"/>
      <c r="H32" s="27"/>
    </row>
    <row r="33" spans="1:8" x14ac:dyDescent="0.35">
      <c r="A33" s="38" t="s">
        <v>122</v>
      </c>
      <c r="B33" s="38" t="s">
        <v>123</v>
      </c>
      <c r="C33" s="38" t="s">
        <v>124</v>
      </c>
      <c r="D33" s="38" t="s">
        <v>16</v>
      </c>
      <c r="E33" s="39" t="s">
        <v>125</v>
      </c>
      <c r="F33" s="27"/>
      <c r="G33" s="27"/>
      <c r="H33" s="27"/>
    </row>
    <row r="34" spans="1:8" x14ac:dyDescent="0.35">
      <c r="A34" s="38" t="s">
        <v>221</v>
      </c>
      <c r="B34" s="40">
        <f>22383+(1.4*22383)</f>
        <v>53719.199999999997</v>
      </c>
      <c r="C34" s="38">
        <f>5/100*B34</f>
        <v>2685.96</v>
      </c>
      <c r="D34" s="40">
        <f>SUM(B34:C34)</f>
        <v>56405.159999999996</v>
      </c>
      <c r="E34" s="38"/>
      <c r="F34" s="27"/>
      <c r="G34" s="27"/>
      <c r="H34" s="27"/>
    </row>
    <row r="35" spans="1:8" x14ac:dyDescent="0.35">
      <c r="A35" s="38" t="s">
        <v>222</v>
      </c>
      <c r="B35" s="40">
        <f>3*37350</f>
        <v>112050</v>
      </c>
      <c r="C35" s="38">
        <f>5/100*B35</f>
        <v>5602.5</v>
      </c>
      <c r="D35" s="40">
        <f>SUM(B35:C35)</f>
        <v>117652.5</v>
      </c>
      <c r="E35" s="38"/>
    </row>
    <row r="36" spans="1:8" x14ac:dyDescent="0.35">
      <c r="A36" s="38" t="s">
        <v>129</v>
      </c>
      <c r="B36" s="40">
        <v>50056</v>
      </c>
      <c r="C36" s="38">
        <f>5/100*B36</f>
        <v>2502.8000000000002</v>
      </c>
      <c r="D36" s="40">
        <f>SUM(B36:C36)</f>
        <v>52558.8</v>
      </c>
      <c r="E36" s="38"/>
      <c r="G36" s="2"/>
    </row>
    <row r="37" spans="1:8" x14ac:dyDescent="0.35">
      <c r="A37" t="s">
        <v>223</v>
      </c>
      <c r="B37">
        <v>57349</v>
      </c>
      <c r="C37" s="38">
        <f>5/100*B37</f>
        <v>2867.4500000000003</v>
      </c>
      <c r="D37" s="40">
        <f>SUM(B37:C37)</f>
        <v>60216.45</v>
      </c>
      <c r="G37" s="2"/>
    </row>
    <row r="38" spans="1:8" x14ac:dyDescent="0.35">
      <c r="A38" s="38" t="s">
        <v>224</v>
      </c>
      <c r="B38" s="38">
        <v>96376</v>
      </c>
      <c r="C38" s="38">
        <f>5/100*B38</f>
        <v>4818.8</v>
      </c>
      <c r="D38" s="40">
        <f>SUM(B38:C38)</f>
        <v>101194.8</v>
      </c>
      <c r="E38" s="38"/>
      <c r="G38" s="2"/>
      <c r="H38" s="27"/>
    </row>
    <row r="39" spans="1:8" x14ac:dyDescent="0.35">
      <c r="A39" s="38"/>
      <c r="B39" s="38"/>
      <c r="C39" s="41" t="s">
        <v>132</v>
      </c>
      <c r="D39" s="40">
        <f>SUM(D34:D37)</f>
        <v>286832.91000000003</v>
      </c>
      <c r="E39" s="42">
        <f>D39/E32</f>
        <v>3.6644723663029874</v>
      </c>
      <c r="H39" s="27"/>
    </row>
    <row r="40" spans="1:8" x14ac:dyDescent="0.35">
      <c r="A40" s="55"/>
      <c r="H40" s="27"/>
    </row>
    <row r="41" spans="1:8" x14ac:dyDescent="0.35">
      <c r="H41" s="2"/>
    </row>
    <row r="42" spans="1:8" ht="29" x14ac:dyDescent="0.35">
      <c r="A42" s="110" t="s">
        <v>225</v>
      </c>
      <c r="B42" s="111" t="s">
        <v>274</v>
      </c>
      <c r="D42" s="59"/>
    </row>
    <row r="43" spans="1:8" x14ac:dyDescent="0.35">
      <c r="A43" s="107" t="s">
        <v>226</v>
      </c>
      <c r="B43" s="112">
        <f>34*D22</f>
        <v>550.79999999999995</v>
      </c>
      <c r="C43" s="27"/>
      <c r="D43" s="103"/>
      <c r="E43" s="27"/>
    </row>
    <row r="44" spans="1:8" x14ac:dyDescent="0.35">
      <c r="A44" s="107" t="s">
        <v>186</v>
      </c>
      <c r="B44" s="112">
        <f>E9</f>
        <v>2.9575677083333334</v>
      </c>
      <c r="C44" s="27"/>
      <c r="D44" s="103"/>
      <c r="E44" s="27"/>
    </row>
    <row r="45" spans="1:8" x14ac:dyDescent="0.35">
      <c r="A45" s="107" t="s">
        <v>191</v>
      </c>
      <c r="B45" s="112">
        <f>E18</f>
        <v>1.748</v>
      </c>
      <c r="C45" s="27"/>
      <c r="D45" s="103"/>
      <c r="E45" s="27"/>
    </row>
    <row r="46" spans="1:8" x14ac:dyDescent="0.35">
      <c r="A46" s="107" t="s">
        <v>227</v>
      </c>
      <c r="B46" s="112">
        <f>E26</f>
        <v>7.9952137495920811E-2</v>
      </c>
      <c r="C46" s="27"/>
      <c r="D46" s="103"/>
      <c r="E46" s="27"/>
    </row>
    <row r="47" spans="1:8" x14ac:dyDescent="0.35">
      <c r="A47" s="107" t="s">
        <v>228</v>
      </c>
      <c r="B47" s="112">
        <f>E30*34</f>
        <v>18.531109240159964</v>
      </c>
      <c r="C47" s="27"/>
      <c r="D47" s="103"/>
      <c r="E47" s="27"/>
    </row>
    <row r="48" spans="1:8" x14ac:dyDescent="0.35">
      <c r="A48" s="107" t="s">
        <v>134</v>
      </c>
      <c r="B48" s="112">
        <f>34*E39</f>
        <v>124.59206045430157</v>
      </c>
      <c r="C48" s="27"/>
      <c r="D48" s="103"/>
      <c r="E48" s="27"/>
    </row>
    <row r="49" spans="1:5" x14ac:dyDescent="0.35">
      <c r="A49" s="108" t="s">
        <v>16</v>
      </c>
      <c r="B49" s="112">
        <f>SUM(B43:B48)</f>
        <v>698.70868954029072</v>
      </c>
      <c r="C49" s="27"/>
      <c r="D49" s="103"/>
      <c r="E49" s="27"/>
    </row>
    <row r="50" spans="1:5" x14ac:dyDescent="0.35">
      <c r="A50" s="107"/>
      <c r="B50" s="112"/>
      <c r="C50" s="27"/>
      <c r="D50" s="103"/>
      <c r="E50" s="27"/>
    </row>
    <row r="51" spans="1:5" x14ac:dyDescent="0.35">
      <c r="A51" s="109" t="s">
        <v>211</v>
      </c>
      <c r="B51" s="113">
        <f>B49/34</f>
        <v>20.550255574714434</v>
      </c>
      <c r="C51" s="27"/>
      <c r="D51" s="103"/>
      <c r="E51" s="27"/>
    </row>
  </sheetData>
  <sheetProtection algorithmName="SHA-512" hashValue="Obe5R5u0n6QW5IQrYm0A0nB01HHGcjRj/yIahHAT2bSa7OzF6b4Zt91p5t23IXWfT1LrjhuF6vtkyOsoRDNoFQ==" saltValue="2SyY5n0OQN7LpyOKRqQZew==" spinCount="100000" sheet="1" objects="1" scenarios="1" selectLockedCells="1" selectUnlockedCells="1"/>
  <mergeCells count="3">
    <mergeCell ref="Q27:R27"/>
    <mergeCell ref="Q28:R28"/>
    <mergeCell ref="Q29:R2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topLeftCell="A20" workbookViewId="0">
      <selection activeCell="A20" sqref="A1:XFD1048576"/>
    </sheetView>
  </sheetViews>
  <sheetFormatPr defaultRowHeight="14.5" x14ac:dyDescent="0.35"/>
  <cols>
    <col min="2" max="2" width="20.90625" customWidth="1"/>
    <col min="3" max="3" width="12.453125" customWidth="1"/>
    <col min="7" max="7" width="32.08984375" customWidth="1"/>
    <col min="10" max="10" width="11.81640625" customWidth="1"/>
  </cols>
  <sheetData>
    <row r="1" spans="1:13" x14ac:dyDescent="0.35">
      <c r="A1" s="3" t="s">
        <v>282</v>
      </c>
    </row>
    <row r="4" spans="1:13" ht="17" x14ac:dyDescent="0.35">
      <c r="B4" s="3" t="s">
        <v>229</v>
      </c>
      <c r="C4" s="3" t="s">
        <v>230</v>
      </c>
      <c r="D4" s="3" t="s">
        <v>231</v>
      </c>
      <c r="E4" s="3" t="s">
        <v>232</v>
      </c>
      <c r="G4" s="3" t="s">
        <v>229</v>
      </c>
      <c r="H4" s="3" t="s">
        <v>230</v>
      </c>
      <c r="I4" s="3" t="s">
        <v>231</v>
      </c>
      <c r="J4" s="3" t="s">
        <v>232</v>
      </c>
      <c r="M4" s="87"/>
    </row>
    <row r="5" spans="1:13" x14ac:dyDescent="0.35">
      <c r="B5" t="s">
        <v>233</v>
      </c>
      <c r="C5" s="2">
        <v>175</v>
      </c>
      <c r="D5">
        <v>100</v>
      </c>
      <c r="E5">
        <f>C5/D5</f>
        <v>1.75</v>
      </c>
      <c r="G5" t="s">
        <v>234</v>
      </c>
      <c r="H5" s="2">
        <v>40</v>
      </c>
      <c r="I5">
        <v>100</v>
      </c>
      <c r="J5">
        <f>H5/I5</f>
        <v>0.4</v>
      </c>
    </row>
    <row r="6" spans="1:13" x14ac:dyDescent="0.35">
      <c r="B6" t="s">
        <v>235</v>
      </c>
      <c r="C6" s="2">
        <v>23.3</v>
      </c>
      <c r="D6">
        <v>100</v>
      </c>
      <c r="E6">
        <f t="shared" ref="E6:E10" si="0">C6/D6</f>
        <v>0.23300000000000001</v>
      </c>
      <c r="G6" t="s">
        <v>236</v>
      </c>
      <c r="H6" s="2">
        <v>37.99</v>
      </c>
      <c r="I6">
        <v>100</v>
      </c>
      <c r="J6">
        <f t="shared" ref="J6:J10" si="1">H6/I6</f>
        <v>0.37990000000000002</v>
      </c>
    </row>
    <row r="7" spans="1:13" x14ac:dyDescent="0.35">
      <c r="B7" t="s">
        <v>237</v>
      </c>
      <c r="C7" s="2">
        <v>42.75</v>
      </c>
      <c r="D7">
        <v>100</v>
      </c>
      <c r="E7">
        <f t="shared" si="0"/>
        <v>0.42749999999999999</v>
      </c>
      <c r="G7" t="s">
        <v>238</v>
      </c>
      <c r="H7" s="2">
        <v>50.25</v>
      </c>
      <c r="I7">
        <v>100</v>
      </c>
      <c r="J7">
        <f t="shared" si="1"/>
        <v>0.50249999999999995</v>
      </c>
    </row>
    <row r="8" spans="1:13" x14ac:dyDescent="0.35">
      <c r="B8" t="s">
        <v>239</v>
      </c>
      <c r="C8" s="2">
        <v>41.65</v>
      </c>
      <c r="D8">
        <v>100</v>
      </c>
      <c r="E8">
        <f t="shared" si="0"/>
        <v>0.41649999999999998</v>
      </c>
      <c r="G8" t="s">
        <v>239</v>
      </c>
      <c r="H8" s="2">
        <v>41.65</v>
      </c>
      <c r="I8">
        <v>100</v>
      </c>
      <c r="J8">
        <f t="shared" si="1"/>
        <v>0.41649999999999998</v>
      </c>
    </row>
    <row r="9" spans="1:13" x14ac:dyDescent="0.35">
      <c r="B9" t="s">
        <v>240</v>
      </c>
      <c r="C9" s="2">
        <v>11.25</v>
      </c>
      <c r="D9">
        <v>100</v>
      </c>
      <c r="E9">
        <f t="shared" si="0"/>
        <v>0.1125</v>
      </c>
      <c r="G9" t="s">
        <v>241</v>
      </c>
      <c r="H9" s="2">
        <v>3.59</v>
      </c>
      <c r="I9">
        <v>100</v>
      </c>
      <c r="J9">
        <f t="shared" si="1"/>
        <v>3.5900000000000001E-2</v>
      </c>
    </row>
    <row r="10" spans="1:13" x14ac:dyDescent="0.35">
      <c r="B10" t="s">
        <v>242</v>
      </c>
      <c r="C10" s="2">
        <v>1.67</v>
      </c>
      <c r="D10">
        <v>100</v>
      </c>
      <c r="E10">
        <f t="shared" si="0"/>
        <v>1.67E-2</v>
      </c>
      <c r="G10" t="s">
        <v>242</v>
      </c>
      <c r="H10" s="2">
        <v>1.67</v>
      </c>
      <c r="I10">
        <v>100</v>
      </c>
      <c r="J10">
        <f t="shared" si="1"/>
        <v>1.67E-2</v>
      </c>
    </row>
    <row r="11" spans="1:13" x14ac:dyDescent="0.35">
      <c r="G11" t="s">
        <v>243</v>
      </c>
      <c r="H11" s="2">
        <v>15</v>
      </c>
      <c r="I11">
        <v>30</v>
      </c>
      <c r="J11">
        <f>30/60*H11</f>
        <v>7.5</v>
      </c>
    </row>
    <row r="12" spans="1:13" x14ac:dyDescent="0.35">
      <c r="C12" s="31" t="s">
        <v>244</v>
      </c>
      <c r="D12" s="31"/>
      <c r="E12" s="31">
        <f>SUM(E5:E10)</f>
        <v>2.9561999999999999</v>
      </c>
      <c r="H12" s="88"/>
    </row>
    <row r="13" spans="1:13" x14ac:dyDescent="0.35">
      <c r="H13" s="31" t="s">
        <v>244</v>
      </c>
      <c r="I13" s="31"/>
      <c r="J13" s="31">
        <f>SUM(J5:J11)</f>
        <v>9.2515000000000001</v>
      </c>
    </row>
    <row r="14" spans="1:13" x14ac:dyDescent="0.35">
      <c r="B14" s="3" t="s">
        <v>245</v>
      </c>
    </row>
    <row r="15" spans="1:13" x14ac:dyDescent="0.35">
      <c r="B15" t="s">
        <v>246</v>
      </c>
      <c r="C15">
        <v>11.29</v>
      </c>
      <c r="D15">
        <v>100</v>
      </c>
      <c r="E15">
        <f>C15/D15</f>
        <v>0.11289999999999999</v>
      </c>
      <c r="G15" s="3" t="s">
        <v>247</v>
      </c>
      <c r="H15" t="s">
        <v>248</v>
      </c>
      <c r="J15" s="3" t="s">
        <v>249</v>
      </c>
    </row>
    <row r="16" spans="1:13" x14ac:dyDescent="0.35">
      <c r="B16" t="s">
        <v>250</v>
      </c>
      <c r="C16">
        <v>1.95</v>
      </c>
      <c r="D16" t="s">
        <v>251</v>
      </c>
      <c r="E16">
        <f>C16</f>
        <v>1.95</v>
      </c>
      <c r="G16" t="s">
        <v>252</v>
      </c>
      <c r="H16">
        <v>250</v>
      </c>
      <c r="I16">
        <v>3650</v>
      </c>
      <c r="J16">
        <f>H16/I16</f>
        <v>6.8493150684931503E-2</v>
      </c>
    </row>
    <row r="17" spans="2:10" x14ac:dyDescent="0.35">
      <c r="C17" s="31" t="s">
        <v>244</v>
      </c>
      <c r="D17" s="31"/>
      <c r="E17" s="31">
        <f>SUM(E15:E16)</f>
        <v>2.0629</v>
      </c>
      <c r="G17" t="s">
        <v>253</v>
      </c>
      <c r="H17">
        <v>126.99</v>
      </c>
      <c r="I17">
        <v>1000</v>
      </c>
      <c r="J17">
        <f>H17/I17</f>
        <v>0.12698999999999999</v>
      </c>
    </row>
    <row r="18" spans="2:10" x14ac:dyDescent="0.35">
      <c r="G18" t="s">
        <v>254</v>
      </c>
      <c r="J18">
        <v>0.27</v>
      </c>
    </row>
    <row r="19" spans="2:10" x14ac:dyDescent="0.35">
      <c r="B19" s="3" t="s">
        <v>255</v>
      </c>
      <c r="C19" t="s">
        <v>256</v>
      </c>
    </row>
    <row r="20" spans="2:10" x14ac:dyDescent="0.35">
      <c r="B20" t="s">
        <v>257</v>
      </c>
      <c r="C20">
        <v>72.2</v>
      </c>
      <c r="D20" t="s">
        <v>258</v>
      </c>
      <c r="E20">
        <f>3*C20/50</f>
        <v>4.3320000000000007</v>
      </c>
      <c r="H20" s="31" t="s">
        <v>244</v>
      </c>
      <c r="I20" s="31"/>
      <c r="J20" s="31">
        <f>SUM(J16:J18)</f>
        <v>0.46548315068493151</v>
      </c>
    </row>
    <row r="21" spans="2:10" x14ac:dyDescent="0.35">
      <c r="B21" t="s">
        <v>259</v>
      </c>
      <c r="C21">
        <v>125</v>
      </c>
      <c r="D21" t="s">
        <v>260</v>
      </c>
      <c r="E21">
        <f>2.5/50*C21</f>
        <v>6.25</v>
      </c>
    </row>
    <row r="22" spans="2:10" ht="15" thickBot="1" x14ac:dyDescent="0.4">
      <c r="G22" s="118"/>
      <c r="H22" s="118"/>
      <c r="J22" s="3"/>
    </row>
    <row r="23" spans="2:10" x14ac:dyDescent="0.35">
      <c r="G23" s="115" t="s">
        <v>280</v>
      </c>
      <c r="H23" s="116">
        <f>E33</f>
        <v>3.6656000000000006E-3</v>
      </c>
    </row>
    <row r="24" spans="2:10" x14ac:dyDescent="0.35">
      <c r="B24" s="3" t="s">
        <v>261</v>
      </c>
      <c r="C24" t="s">
        <v>262</v>
      </c>
      <c r="E24" t="s">
        <v>203</v>
      </c>
      <c r="G24" s="94" t="s">
        <v>283</v>
      </c>
      <c r="H24" s="92">
        <v>8.09</v>
      </c>
    </row>
    <row r="25" spans="2:10" ht="15" thickBot="1" x14ac:dyDescent="0.4">
      <c r="B25" t="s">
        <v>263</v>
      </c>
      <c r="C25">
        <v>500</v>
      </c>
      <c r="E25">
        <f>E20</f>
        <v>4.3320000000000007</v>
      </c>
      <c r="G25" s="117" t="s">
        <v>281</v>
      </c>
      <c r="H25" s="114">
        <f>SUM(H23:H24)</f>
        <v>8.0936655999999996</v>
      </c>
    </row>
    <row r="26" spans="2:10" ht="15" thickBot="1" x14ac:dyDescent="0.4">
      <c r="B26" t="s">
        <v>264</v>
      </c>
      <c r="C26">
        <v>0.5</v>
      </c>
      <c r="E26">
        <f>0.5/12.5*E21</f>
        <v>0.25</v>
      </c>
    </row>
    <row r="27" spans="2:10" x14ac:dyDescent="0.35">
      <c r="C27" s="31" t="s">
        <v>244</v>
      </c>
      <c r="D27" s="31"/>
      <c r="E27" s="31">
        <f>SUM(E25:E26)</f>
        <v>4.5820000000000007</v>
      </c>
      <c r="G27" s="89" t="s">
        <v>265</v>
      </c>
      <c r="H27" s="90" t="s">
        <v>5</v>
      </c>
    </row>
    <row r="28" spans="2:10" x14ac:dyDescent="0.35">
      <c r="G28" s="91" t="s">
        <v>229</v>
      </c>
      <c r="H28" s="92">
        <f>E12</f>
        <v>2.9561999999999999</v>
      </c>
    </row>
    <row r="29" spans="2:10" x14ac:dyDescent="0.35">
      <c r="B29" s="3" t="s">
        <v>266</v>
      </c>
      <c r="G29" s="91" t="s">
        <v>245</v>
      </c>
      <c r="H29" s="92">
        <f>E17</f>
        <v>2.0629</v>
      </c>
    </row>
    <row r="30" spans="2:10" x14ac:dyDescent="0.35">
      <c r="B30" t="s">
        <v>267</v>
      </c>
      <c r="C30" s="93" t="s">
        <v>268</v>
      </c>
      <c r="E30" t="s">
        <v>203</v>
      </c>
      <c r="G30" s="91" t="s">
        <v>255</v>
      </c>
      <c r="H30" s="92">
        <f>E33</f>
        <v>3.6656000000000006E-3</v>
      </c>
    </row>
    <row r="31" spans="2:10" x14ac:dyDescent="0.35">
      <c r="B31" t="s">
        <v>269</v>
      </c>
      <c r="C31">
        <v>0.4</v>
      </c>
      <c r="E31">
        <f>0.4/500*E27</f>
        <v>3.6656000000000006E-3</v>
      </c>
      <c r="G31" s="94" t="s">
        <v>270</v>
      </c>
      <c r="H31" s="92">
        <v>8.09</v>
      </c>
    </row>
    <row r="32" spans="2:10" x14ac:dyDescent="0.35">
      <c r="B32" t="s">
        <v>271</v>
      </c>
      <c r="C32">
        <v>2</v>
      </c>
      <c r="G32" s="95" t="s">
        <v>272</v>
      </c>
      <c r="H32" s="96">
        <f>SUM(H28:H31)</f>
        <v>13.112765599999999</v>
      </c>
    </row>
    <row r="33" spans="3:8" x14ac:dyDescent="0.35">
      <c r="C33" s="31" t="s">
        <v>244</v>
      </c>
      <c r="D33" s="31"/>
      <c r="E33" s="31">
        <f>SUM(E31:E32)</f>
        <v>3.6656000000000006E-3</v>
      </c>
      <c r="G33" s="97"/>
      <c r="H33" s="98"/>
    </row>
    <row r="34" spans="3:8" x14ac:dyDescent="0.35">
      <c r="G34" s="99" t="s">
        <v>273</v>
      </c>
      <c r="H34" s="100" t="s">
        <v>274</v>
      </c>
    </row>
    <row r="35" spans="3:8" x14ac:dyDescent="0.35">
      <c r="G35" s="91" t="s">
        <v>229</v>
      </c>
      <c r="H35" s="92">
        <f>J13</f>
        <v>9.2515000000000001</v>
      </c>
    </row>
    <row r="36" spans="3:8" x14ac:dyDescent="0.35">
      <c r="G36" s="91" t="s">
        <v>275</v>
      </c>
      <c r="H36" s="92">
        <f>J20</f>
        <v>0.46548315068493151</v>
      </c>
    </row>
    <row r="37" spans="3:8" x14ac:dyDescent="0.35">
      <c r="G37" s="94" t="s">
        <v>270</v>
      </c>
      <c r="H37" s="92">
        <v>8.09</v>
      </c>
    </row>
    <row r="38" spans="3:8" ht="15" thickBot="1" x14ac:dyDescent="0.4">
      <c r="G38" s="101" t="s">
        <v>276</v>
      </c>
      <c r="H38" s="102">
        <f>SUM(H35:H37)</f>
        <v>17.806983150684932</v>
      </c>
    </row>
  </sheetData>
  <sheetProtection algorithmName="SHA-512" hashValue="hAiZHp3oD2/jZwsPtY1KSCWKIwzEDD9L5cXInzieGX+k3zD1NTeZRtzQ5/k9gQYsl5QEvBPH3/gQa7XbdlarYw==" saltValue="xmHowblk5Tzvu3iGr0rmTQ==" spinCount="100000" sheet="1" objects="1" scenarios="1" selectLockedCells="1" selectUn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Appendix 1</vt:lpstr>
      <vt:lpstr>Appendix 2</vt:lpstr>
      <vt:lpstr>Appendix 3</vt:lpstr>
    </vt:vector>
  </TitlesOfParts>
  <Company>Royal Surrey County Hospital NHS Foundation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Godwin Tetteh</dc:creator>
  <cp:lastModifiedBy>Godwin Tetteh</cp:lastModifiedBy>
  <cp:lastPrinted>2025-01-16T23:36:45Z</cp:lastPrinted>
  <dcterms:created xsi:type="dcterms:W3CDTF">2024-05-29T11:01:28Z</dcterms:created>
  <dcterms:modified xsi:type="dcterms:W3CDTF">2025-01-16T23:44:24Z</dcterms:modified>
</cp:coreProperties>
</file>